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50"/>
  </bookViews>
  <sheets>
    <sheet name="劳务报价汇总表4.10" sheetId="14" r:id="rId1"/>
    <sheet name="沥青路" sheetId="12" r:id="rId2"/>
    <sheet name="园内铺装" sheetId="1" r:id="rId3"/>
    <sheet name="小品" sheetId="13" r:id="rId4"/>
    <sheet name="围墙" sheetId="11" r:id="rId5"/>
    <sheet name="绿化" sheetId="4" r:id="rId6"/>
    <sheet name="给排水" sheetId="6" r:id="rId7"/>
    <sheet name="电气" sheetId="7" r:id="rId8"/>
  </sheets>
  <definedNames>
    <definedName name="_xlnm._FilterDatabase" localSheetId="1" hidden="1">沥青路!$A$2:$N$25</definedName>
    <definedName name="_xlnm._FilterDatabase" localSheetId="2" hidden="1">园内铺装!$A$2:$N$180</definedName>
    <definedName name="_xlnm._FilterDatabase" localSheetId="3" hidden="1">小品!$A$2:$L$326</definedName>
    <definedName name="_xlnm._FilterDatabase" localSheetId="4" hidden="1">围墙!$A$2:$K$28</definedName>
    <definedName name="_xlnm._FilterDatabase" localSheetId="5" hidden="1">绿化!$A$3:$M$124</definedName>
  </definedNames>
  <calcPr calcId="144525"/>
</workbook>
</file>

<file path=xl/sharedStrings.xml><?xml version="1.0" encoding="utf-8"?>
<sst xmlns="http://schemas.openxmlformats.org/spreadsheetml/2006/main" count="939">
  <si>
    <t>山西荣盛忻州华府大区景观工程-劳务报价汇总表</t>
  </si>
  <si>
    <t>序号</t>
  </si>
  <si>
    <t>名称</t>
  </si>
  <si>
    <t>基准价</t>
  </si>
  <si>
    <t>上/下浮系数</t>
  </si>
  <si>
    <t>上/下浮报价</t>
  </si>
  <si>
    <t>备注</t>
  </si>
  <si>
    <t>沥青路</t>
  </si>
  <si>
    <t>园区铺装</t>
  </si>
  <si>
    <t>小品工程</t>
  </si>
  <si>
    <t>围墙工程</t>
  </si>
  <si>
    <t>绿化工程</t>
  </si>
  <si>
    <t>含两年养护</t>
  </si>
  <si>
    <t>给排水工程</t>
  </si>
  <si>
    <t>电气工程</t>
  </si>
  <si>
    <t>措施费</t>
  </si>
  <si>
    <t>合计</t>
  </si>
  <si>
    <t>1、按照设计图纸施工，固定综合单价，设计图纸范围内总价包干。甲供材为花岗岩石材、仿石砖、小品、灯具、苗木，甲分包为沥青道路、铁艺（清单显示甲分包部分）、景石，其他一切的主材及辅材均包含在合同单价内。</t>
  </si>
  <si>
    <t>2、需要给工人上保险，入场时我司会收取贵司缴纳的保险单等相关文件。</t>
  </si>
  <si>
    <t>3、该价格均为乙方自行解决临时设施费用，包括不限于生活区及施工区域内库房料场。</t>
  </si>
  <si>
    <t>4、综合单价：包括为完成该项工作的一切费用包括但不限于人工费、材料费（含市场材料价上涨）、机械费（包含大型机械进退场和场内行驶等）、保险费、卫生防疫费、运输费、各项措施费用（包括但不限于材料设备检测费、水电费、赶工费、夜间及节假日施工增加费、冬（雨）季施工费、场外租地及交通费、包装运输装卸保管费、二次搬运费、生产（生活）临建的搭设及搬迁、安全防护及文明施工措施费、检验费、调试费、施工场地及垃圾外运（含收集、倾倒、堆放、处理等）、保密费、成品保护费、环保达标的费用、现场协调、配合、风险、利润、税金、乙方应收取的各项管理费用及各项税费），按国家及地方政府规定由乙方缴纳的各种税收及其他。</t>
  </si>
  <si>
    <t>5、本协议单价中，均包括成品保护费如彩条布，铺装含拉缝费用、干挂及湿贴均含打胶（玻玻胶）缝隙处理费用。</t>
  </si>
  <si>
    <t>6、景观水安装工程均括主材、辅材、施工费用等全部工作内容。</t>
  </si>
  <si>
    <t>7、苗木工程均包含2年成活养护，苗木有成活率90%以上，所有新栽植苗木除主材甲供外，其余的均含在综合单价内。（包含支撑、浇水、打药、养护、水费等所有相关辅材及机械等）。</t>
  </si>
  <si>
    <t>8、绿化工程中包含两年成活养护费用，苗木成活率达90%以上，水电费已含在养护费用中。</t>
  </si>
  <si>
    <t>9、报价包括提供3个点增值税专用发票，需主要提供劳务、材料、机械等不同类别的发票。</t>
  </si>
  <si>
    <t>沥青道路工程清单价格表</t>
  </si>
  <si>
    <t>项目名称</t>
  </si>
  <si>
    <t>单位</t>
  </si>
  <si>
    <t>工程量</t>
  </si>
  <si>
    <t>综合单价（元）</t>
  </si>
  <si>
    <t>综合合价（元）</t>
  </si>
  <si>
    <t>甲方4月1日优化</t>
  </si>
  <si>
    <t>沥青路(上车）</t>
  </si>
  <si>
    <t>白色涂料</t>
  </si>
  <si>
    <t>m</t>
  </si>
  <si>
    <t>甲分包</t>
  </si>
  <si>
    <t>100宽热熔标识划线</t>
  </si>
  <si>
    <t>30厚细粒式沥青混凝土（黑色）</t>
  </si>
  <si>
    <t>m2</t>
  </si>
  <si>
    <t>30厚细粒式沥青混凝土（蓝色）</t>
  </si>
  <si>
    <t>1200宽红色沥青面层</t>
  </si>
  <si>
    <t>40厚粗粒式沥青混凝土</t>
  </si>
  <si>
    <t>乳化沥青透层</t>
  </si>
  <si>
    <t>150厚C25混凝土垫层，含模板</t>
  </si>
  <si>
    <t>m3</t>
  </si>
  <si>
    <t>包工包料</t>
  </si>
  <si>
    <t>150厚碎石垫层</t>
  </si>
  <si>
    <t>素土夯实</t>
  </si>
  <si>
    <t>侧石、分割墩及侧石与园路交接做法</t>
  </si>
  <si>
    <t>600*300*250芝麻白火烧面花岗岩路缘石（直），结合层</t>
  </si>
  <si>
    <t>石材甲供</t>
  </si>
  <si>
    <t>600*300*250芝麻白火烧面花岗岩路缘石（弧形），结合层</t>
  </si>
  <si>
    <t>600×100×300芝麻白火烧面花岗岩路缘石，异形道牙-交接部位，结合层</t>
  </si>
  <si>
    <t>600×300×50芝麻白火烧面花岗岩条石-交接部位，结合层</t>
  </si>
  <si>
    <t>500×350×250长芝麻灰机切面花岗岩(异型加工)-侧石分割墩，结合层</t>
  </si>
  <si>
    <t>块</t>
  </si>
  <si>
    <t>C25混凝土垫层，含模板</t>
  </si>
  <si>
    <t>600*300*50芝麻白火烧面花岗岩，结合层</t>
  </si>
  <si>
    <t>汇总</t>
  </si>
  <si>
    <t>铺装工程清单价格表</t>
  </si>
  <si>
    <t>1.6m园路</t>
  </si>
  <si>
    <t>400*200*10厚芝麻黑仿石砖</t>
  </si>
  <si>
    <t>仿石砖甲供</t>
  </si>
  <si>
    <t>200*100*10厚福鼎黑仿石砖</t>
  </si>
  <si>
    <t>200*100*10厚芝麻黑仿石砖</t>
  </si>
  <si>
    <t>100厚C20混凝土垫层</t>
  </si>
  <si>
    <t>100厚碎石垫层</t>
  </si>
  <si>
    <t>素土夯实 压实度≥0.94</t>
  </si>
  <si>
    <t>1.2m园路</t>
  </si>
  <si>
    <t>300*150*10厚福鼎黑仿石砖</t>
  </si>
  <si>
    <t>2m园路</t>
  </si>
  <si>
    <t>铺装详图十</t>
  </si>
  <si>
    <t>彩色橡胶地垫</t>
  </si>
  <si>
    <t>13厚黄色现浇塑胶地垫</t>
  </si>
  <si>
    <t>13厚蓝色现浇塑胶地垫</t>
  </si>
  <si>
    <t>13厚浅蓝色现浇塑胶地垫</t>
  </si>
  <si>
    <t>13厚橙色现浇塑胶地垫</t>
  </si>
  <si>
    <t>白色画线</t>
  </si>
  <si>
    <t>200*200*10厚芝麻黑仿石砖 沿径切割，异形加工</t>
  </si>
  <si>
    <t>铺装详图十一</t>
  </si>
  <si>
    <t>600*200*10厚福鼎黑仿石砖</t>
  </si>
  <si>
    <t>600*200*10厚芝麻黑仿石砖</t>
  </si>
  <si>
    <t>铺装详图十二</t>
  </si>
  <si>
    <t>13厚紫色现浇塑胶地垫</t>
  </si>
  <si>
    <t>13厚浅紫色现浇塑胶地垫</t>
  </si>
  <si>
    <t>13厚粉紫色现浇塑胶地垫</t>
  </si>
  <si>
    <t>30厚1：2.5水泥砂浆结合层</t>
  </si>
  <si>
    <t>铺装十三（羽毛球场地在小品中）</t>
  </si>
  <si>
    <t>铺装详图一（不上车）</t>
  </si>
  <si>
    <t>600*400*10厚福鼎黑仿石砖</t>
  </si>
  <si>
    <t>600*200*10厚芝麻灰仿石砖</t>
  </si>
  <si>
    <t>铺装详图二（不上车）</t>
  </si>
  <si>
    <t>铺装详图三（不上车）</t>
  </si>
  <si>
    <t>1200*600*10厚芝麻黑仿石砖</t>
  </si>
  <si>
    <t>600*600*10厚芝麻黑仿石砖</t>
  </si>
  <si>
    <t>600*480*10厚芝麻黑仿石砖</t>
  </si>
  <si>
    <t>600*520*10厚芝麻黑仿石砖</t>
  </si>
  <si>
    <t>600*300*10厚福鼎黑仿石砖</t>
  </si>
  <si>
    <t>600*100*10厚福鼎黑仿石砖</t>
  </si>
  <si>
    <t>1800*1800*30厚芝麻黑火烧面花岗岩 字体繁角篆,图案部分阳刻5mm</t>
  </si>
  <si>
    <t>1500*1800*30厚芝麻黑火烧面花岗岩 字体繁角篆,图案部分阳刻5mm</t>
  </si>
  <si>
    <t>600*450*50厚中国黑火烧面花岗岩台阶（上下倒角10*10）</t>
  </si>
  <si>
    <t>铺装详图四（上车）</t>
  </si>
  <si>
    <t>*4</t>
  </si>
  <si>
    <t>300*300*15厚芝麻黑仿石砖</t>
  </si>
  <si>
    <t>150*150*15厚福鼎黑仿石砖</t>
  </si>
  <si>
    <t>600*300*15厚芝麻灰仿石砖</t>
  </si>
  <si>
    <t>1500*900*30厚芝麻黑火烧面花岗岩 图案部分阳刻5mm</t>
  </si>
  <si>
    <t>150厚C25混凝土垫层</t>
  </si>
  <si>
    <t>铺装详图五（上车）</t>
  </si>
  <si>
    <t>*5</t>
  </si>
  <si>
    <t>铺装详图六（不上车）</t>
  </si>
  <si>
    <t>600*600*10厚福鼎黑仿石砖</t>
  </si>
  <si>
    <t>600*300*10厚芝麻黑仿石砖</t>
  </si>
  <si>
    <t>150*150*10厚福鼎黑仿石砖</t>
  </si>
  <si>
    <t>300*300*10厚芝麻黑仿石砖</t>
  </si>
  <si>
    <t>300*300*10厚福鼎黑仿石砖</t>
  </si>
  <si>
    <t>铺装详图七（不上车）</t>
  </si>
  <si>
    <t>600*200*50厚芝麻黑火烧面花岗岩</t>
  </si>
  <si>
    <t>铺装详图八（不上车）</t>
  </si>
  <si>
    <t>铺装详图九（不上车）</t>
  </si>
  <si>
    <t>取消</t>
  </si>
  <si>
    <t>400*200*50厚芝麻黑火烧面花岗岩</t>
  </si>
  <si>
    <t>400*100*10厚福鼎黑仿石砖</t>
  </si>
  <si>
    <t>400*400*10厚芝麻黑仿石砖</t>
  </si>
  <si>
    <t>400*300*10厚芝麻黑仿石砖</t>
  </si>
  <si>
    <t>铺装详图十四 (上车）</t>
  </si>
  <si>
    <t>铺装详图十四 (不上车）</t>
  </si>
  <si>
    <t>1500*1200*30厚芝麻黑火烧面花岗岩 图案部分阳刻5mm</t>
  </si>
  <si>
    <t>600*300*10厚灰麻石仿石砖</t>
  </si>
  <si>
    <t>铺装详图十五 (不上车）</t>
  </si>
  <si>
    <t>2100*1200*30厚芝麻黑火烧面花岗岩 图案部分阳刻5mm</t>
  </si>
  <si>
    <t>铺装详图十六 (不上车）</t>
  </si>
  <si>
    <t>*2</t>
  </si>
  <si>
    <t>垃圾存放平台</t>
  </si>
  <si>
    <t>*14</t>
  </si>
  <si>
    <t>200*200*10厚芝麻灰仿石砖</t>
  </si>
  <si>
    <t>700*50*100厚芝麻灰火烧面花岗岩</t>
  </si>
  <si>
    <t>100*100*10厚芝麻黑仿石砖</t>
  </si>
  <si>
    <t>汀步</t>
  </si>
  <si>
    <t>203块</t>
  </si>
  <si>
    <t>800*400*70厚芝麻黑火烧面花岗岩</t>
  </si>
  <si>
    <t>60厚C15素混凝土</t>
  </si>
  <si>
    <t>素土夯实，压实度≥0.94</t>
  </si>
  <si>
    <t>小品工程量清单价格表</t>
  </si>
  <si>
    <t>项目特征描述</t>
  </si>
  <si>
    <t>计量单位</t>
  </si>
  <si>
    <t>备注1</t>
  </si>
  <si>
    <t>备注2</t>
  </si>
  <si>
    <t>羽毛球场</t>
  </si>
  <si>
    <t>1、深蓝色（R：93 G：168 B：208）13厚现浇塑胶地垫/蓝色（R：36 G：126 B：255）13厚现浇塑胶地垫/浅蓝色（R：63 G：172 B：179）13厚现浇塑胶地垫
画10宽白色线条
2、30厚1：2.5水泥砂浆结合层
3、100厚C20混凝土（内置金属网φ6,150X150）
4、100厚碎石垫层
5、素土夯实压实度≥0.94</t>
  </si>
  <si>
    <t>画10宽白色线条</t>
  </si>
  <si>
    <t>13厚现浇塑胶地垫</t>
  </si>
  <si>
    <t>内置金属网φ6,150X150</t>
  </si>
  <si>
    <t>100厚C20混凝土垫层，含模板</t>
  </si>
  <si>
    <t>排水沟</t>
  </si>
  <si>
    <t>250*400*50芝麻黑花岗岩雨水单箅（U型沟）</t>
  </si>
  <si>
    <t>150厚C25钢筋混凝土，含模板</t>
  </si>
  <si>
    <t>ø8@150双层双向</t>
  </si>
  <si>
    <t>t</t>
  </si>
  <si>
    <t xml:space="preserve">φ76预埋钢管 </t>
  </si>
  <si>
    <t>字体方正粗倩简体</t>
  </si>
  <si>
    <t>处</t>
  </si>
  <si>
    <t>下沉广场矮墙</t>
  </si>
  <si>
    <t>挖土方</t>
  </si>
  <si>
    <t>土方回填</t>
  </si>
  <si>
    <t>素土夯实,夯实系数≥0.94</t>
  </si>
  <si>
    <t>100厚C15混凝土垫层，含模板</t>
  </si>
  <si>
    <t>MU7.5水泥砂浆砌筑M10砖</t>
  </si>
  <si>
    <t>20厚1：2.5水泥砂浆结合层</t>
  </si>
  <si>
    <t>石材压顶</t>
  </si>
  <si>
    <t>1200*1200*100厚黄金麻荔枝面（斜切：30*50），结合层</t>
  </si>
  <si>
    <t>成品造型灯</t>
  </si>
  <si>
    <t>尺寸：1000*1000*470
3厚不锈钢板花纹雕刻，电镀深咖色，阳刻2mm
20*10*1厚镀锌钢管
30*50*1厚镀锌钢管
25*50*1厚镀锌钢管
30*60*1厚镀锌钢管
25*25*1厚镀锌钢管，内刷红丹，外喷深咖色氟碳漆
3厚不锈钢板，内刷红丹，外喷深咖色氟碳漆
5厚米黄色仿云石透光板
50*50*5厚镀锌钢板@600，M8膨胀螺栓固定</t>
  </si>
  <si>
    <t>套</t>
  </si>
  <si>
    <t>灯具甲供</t>
  </si>
  <si>
    <t>5厚不锈钢优化为3厚
图纸未改</t>
  </si>
  <si>
    <t>1200*600*20/1500*600*20/900*600*20厚黄金麻荔枝面花岗岩厚黄金麻荔枝面花岗岩（含结合层）</t>
  </si>
  <si>
    <t>石材墙面</t>
  </si>
  <si>
    <t>600*100*20/600*60*20厚黄金麻荔枝面花岗岩厚黄金麻荔枝面花岗岩（含结合层）</t>
  </si>
  <si>
    <t>下沉广场铺装</t>
  </si>
  <si>
    <t>1、50厚6-10黑色/白色砾石
2、无纺布（200g/m)</t>
  </si>
  <si>
    <t>70厚C15混凝土垫层，含模板</t>
  </si>
  <si>
    <t>200*200*200预制混凝土块@600</t>
  </si>
  <si>
    <t>1.5厚60宽304不锈钢收边条收边
外侧边缘磨圆角R2       2、50x50x3角钢@600.与不锈钢条焊接连接
M6膨胀螺栓固定</t>
  </si>
  <si>
    <t>儿童游乐区详图一</t>
  </si>
  <si>
    <t>沙坑</t>
  </si>
  <si>
    <t>1、300厚细沙
2、300厚粗砂</t>
  </si>
  <si>
    <t>素土夯实 密实度≥0.94</t>
  </si>
  <si>
    <t>无纺布外包卵石虑水</t>
  </si>
  <si>
    <t>沙坑边挡墙</t>
  </si>
  <si>
    <t>1、300*300*30厚芝麻黑光面花岗岩倒角R=20，压顶，砂浆粘贴</t>
  </si>
  <si>
    <t>2、300*300*30厚芝麻黑光面花岗岩贴面，砂浆粘贴</t>
  </si>
  <si>
    <t>3、240厚MU10砖砌，M7.5水泥砂浆砌筑</t>
  </si>
  <si>
    <t>4、100厚C20混凝土，含模板</t>
  </si>
  <si>
    <t>5、100厚碎石垫层</t>
  </si>
  <si>
    <t>6、素土夯实压实度≥0.94</t>
  </si>
  <si>
    <t>成品</t>
  </si>
  <si>
    <t>滑梯成品</t>
  </si>
  <si>
    <t>个</t>
  </si>
  <si>
    <t>小品甲供</t>
  </si>
  <si>
    <t>攀爬设备</t>
  </si>
  <si>
    <t>栏杆及基础（长度23.365m)</t>
  </si>
  <si>
    <t>回填土</t>
  </si>
  <si>
    <t>素土夯实,压实度≥0.93</t>
  </si>
  <si>
    <t>MU10砖砌，M7.5水泥砂浆砌筑</t>
  </si>
  <si>
    <t>C25钢筋混凝土基础详见，含模板</t>
  </si>
  <si>
    <t>HRB400三级钢筋12mm</t>
  </si>
  <si>
    <t>HPB300钢筋ø6mm</t>
  </si>
  <si>
    <t>200x5 通长镀锌扁钢
M16化学螺栓@500</t>
  </si>
  <si>
    <t>铁艺甲分包</t>
  </si>
  <si>
    <t>1100高镀锌钢管栏杆（外喷氟碳漆）,弧形</t>
  </si>
  <si>
    <t>儿童游乐区详图二</t>
  </si>
  <si>
    <t xml:space="preserve">1、300厚细沙
2、300厚粗砂
</t>
  </si>
  <si>
    <t>沙坑边彩色沥青</t>
  </si>
  <si>
    <t xml:space="preserve">3、240厚MU10砖砌，M7.5水泥砂浆砌筑
</t>
  </si>
  <si>
    <t>4、100厚C20混凝土垫层，含模板</t>
  </si>
  <si>
    <t xml:space="preserve">5、100厚碎石垫层
</t>
  </si>
  <si>
    <t>品</t>
  </si>
  <si>
    <t>南入口种植池</t>
  </si>
  <si>
    <t>砖砌</t>
  </si>
  <si>
    <t>20厚1:2.5水泥砂浆结合层</t>
  </si>
  <si>
    <t>1200*1200*100厚黄金麻荔枝面（斜切：30*50）</t>
  </si>
  <si>
    <t>300*600*25厚黄金麻荔枝面</t>
  </si>
  <si>
    <t>H*600*25厚黄金麻荔枝面
开槽20*10</t>
  </si>
  <si>
    <t>造型灯尺寸：1000*1000*470
3厚不锈钢板花纹雕刻，电镀深咖色，阳刻2mm
20*10*1厚镀锌钢管
30*50*1厚镀锌钢管
25*50*1厚镀锌钢管
30*60*1厚镀锌钢管
25*25*1厚镀锌钢管，内刷红丹，外喷深咖色氟碳漆
3厚不锈钢板，内刷红丹，外喷深咖色氟碳漆
5厚米黄色仿云石透光板
50*50*5厚镀锌钢板@600，M8膨胀螺栓固定</t>
  </si>
  <si>
    <t>不锈钢装饰条</t>
  </si>
  <si>
    <t>1.5厚20宽不锈钢板内嵌 电镀深咖色</t>
  </si>
  <si>
    <t>折桥</t>
  </si>
  <si>
    <t>250厚C25钢筋混凝土基础，抗渗等级＞P6，含模板</t>
  </si>
  <si>
    <t>C25钢筋混凝土柱，抗渗等级＞P6， 含模板</t>
  </si>
  <si>
    <t>4厚Ⅱ型SBS改性沥青防水卷材</t>
  </si>
  <si>
    <t>20厚1:2.5水泥砂浆保护层</t>
  </si>
  <si>
    <t>250*250  C25钢筋混凝梁，抗渗等级＞P6，含模板</t>
  </si>
  <si>
    <t>100厚C25钢筋混凝土板，含模板</t>
  </si>
  <si>
    <t>HRB400二级钢筋16mm</t>
  </si>
  <si>
    <t>HRB400二级钢筋12mm</t>
  </si>
  <si>
    <t>HRB400二级钢筋10mm</t>
  </si>
  <si>
    <t>HPB300二级钢筋8mm</t>
  </si>
  <si>
    <t>600*300*10厚芝麻黑仿石砖（含结合层）</t>
  </si>
  <si>
    <t xml:space="preserve">600*100*10厚福鼎黑仿石砖（含结合层）
</t>
  </si>
  <si>
    <t>600*200*50厚芝麻黑火烧面花岗岩（含结合层）</t>
  </si>
  <si>
    <t>140*600*20芝麻灰火烧面花岗岩（含结合层）</t>
  </si>
  <si>
    <t>石材栏杆</t>
  </si>
  <si>
    <t>截面100x200芝麻灰火烧面栏杆倒角10*10
ø6 L=80钢销固定</t>
  </si>
  <si>
    <t>200高150*100芝麻灰火烧面支撑，间距1600，φ6，L=80钢销固定</t>
  </si>
  <si>
    <t>图纸规格矛盾</t>
  </si>
  <si>
    <t>假山跌水邻水平台</t>
  </si>
  <si>
    <t>300厚C30钢筋混凝土基座，抗渗等级＞P6，含模板</t>
  </si>
  <si>
    <t>300*300  C30钢筋混凝土柱，抗渗等级＞P6，含模板</t>
  </si>
  <si>
    <t>200*300  C30钢筋混凝土梁，抗渗等级＞P6，含模板</t>
  </si>
  <si>
    <t>120厚C30钢筋混凝土板，抗渗等级＞P6，含模板</t>
  </si>
  <si>
    <t>15厚1:2.5水泥砂浆保护层</t>
  </si>
  <si>
    <t>170*600*20芝麻灰火烧面花岗岩（含结合层）</t>
  </si>
  <si>
    <t>HRB400三级钢筋16mm</t>
  </si>
  <si>
    <t>HRB400三级钢筋10mm</t>
  </si>
  <si>
    <t>HRB400三级钢筋8mm</t>
  </si>
  <si>
    <t>HRB400三级钢筋14mm</t>
  </si>
  <si>
    <t>英德石堆砌假山</t>
  </si>
  <si>
    <t>水系驳岸及基础</t>
  </si>
  <si>
    <t>水系面积915.888</t>
  </si>
  <si>
    <t>100厚C20混凝土（抗渗等级＞P6，含模板</t>
  </si>
  <si>
    <t>内置钢板网，网眼50*50</t>
  </si>
  <si>
    <t>长度182.799</t>
  </si>
  <si>
    <t xml:space="preserve">150厚C20钢筋混凝土基础，抗渗等级＞P6，含模板
</t>
  </si>
  <si>
    <t>池底三级钢筋8@200双层双向</t>
  </si>
  <si>
    <t>240宽M7.5砌筑M10挡墙砌筑</t>
  </si>
  <si>
    <t>驳岸景石堆砌（英德石）</t>
  </si>
  <si>
    <t>含在绿化清单中</t>
  </si>
  <si>
    <t>坐凳一二三四五六七</t>
  </si>
  <si>
    <t>M7.5砌筑MU10砖</t>
  </si>
  <si>
    <t>600*600*50厚黄金麻光面花岗岩倒角10*10异形加工，沿径切割（含结合层）</t>
  </si>
  <si>
    <t>优化为50厚，图纸平面图未改，详图已改</t>
  </si>
  <si>
    <t>600*350*30黄锈石光面花岗岩，开槽+弧形（含结合层）</t>
  </si>
  <si>
    <t>加高3公分</t>
  </si>
  <si>
    <t>西入口（景墙）2个</t>
  </si>
  <si>
    <t>100厚C15混凝土垫层</t>
  </si>
  <si>
    <t>地梁</t>
  </si>
  <si>
    <t>C25混凝土地梁，含模板</t>
  </si>
  <si>
    <t>无混凝土标号</t>
  </si>
  <si>
    <t>构造柱</t>
  </si>
  <si>
    <t>C25混凝土构造柱，含模板</t>
  </si>
  <si>
    <t>钢筋</t>
  </si>
  <si>
    <t>HRB400三级钢筋12mm
HRB400三级钢筋10mm
HRB400三级钢筋6mm</t>
  </si>
  <si>
    <t>石材贴面</t>
  </si>
  <si>
    <t>300*600*10厚黄金麻仿石砖
20厚1：2.5水泥砂浆结合层</t>
  </si>
  <si>
    <t>290*100*30芝麻灰造型腰线，阳刻3mm
20厚1：2.5水泥砂浆结合层</t>
  </si>
  <si>
    <t>350*600*100厚中国黑光面，异形
20厚1：2.5水泥砂浆结合层</t>
  </si>
  <si>
    <t>LOGO</t>
  </si>
  <si>
    <t>黑色金属字 高0.1m</t>
  </si>
  <si>
    <t>项</t>
  </si>
  <si>
    <t>无金属字材质、厚度</t>
  </si>
  <si>
    <t>LOGO字</t>
  </si>
  <si>
    <t>黑色金属字 高0.7m</t>
  </si>
  <si>
    <t>泰山石</t>
  </si>
  <si>
    <t>100厚泰山石，立面劈开面，顶面斧凿面</t>
  </si>
  <si>
    <t>泰山石甲供</t>
  </si>
  <si>
    <t>西入口栏杆</t>
  </si>
  <si>
    <t>高1.05m：
50*50*3厚镀锌钢管，内刷红丹，外喷深咖色氟碳漆
30*30*3厚镀锌钢管，内刷红丹，外喷深咖色氟碳漆</t>
  </si>
  <si>
    <t>西入口门卫室</t>
  </si>
  <si>
    <t>垫层</t>
  </si>
  <si>
    <t>独立基础</t>
  </si>
  <si>
    <t>C30混凝土，含模板</t>
  </si>
  <si>
    <t>矩形柱</t>
  </si>
  <si>
    <t>基础梁</t>
  </si>
  <si>
    <t>有梁板</t>
  </si>
  <si>
    <t>过梁</t>
  </si>
  <si>
    <t>C25混凝土，含模板</t>
  </si>
  <si>
    <t>圈梁</t>
  </si>
  <si>
    <t>C25混凝土120*300，含模板</t>
  </si>
  <si>
    <t>砖墙</t>
  </si>
  <si>
    <t>300厚页岩多孔砖</t>
  </si>
  <si>
    <t>HRB400三级钢筋18mm
HRB400三级钢筋12mm
HRB400三级钢筋10mm
HRB400三级钢筋8mm</t>
  </si>
  <si>
    <t>门窗</t>
  </si>
  <si>
    <t>铝合金，中空玻璃</t>
  </si>
  <si>
    <t>地面装饰</t>
  </si>
  <si>
    <t>1.预留30厚做法，甲方自理
2.80厚C15混凝土垫层
3.80厚挤塑聚苯版保温层
4.素土夯实，压实系数≥0.95</t>
  </si>
  <si>
    <t>内墙装饰</t>
  </si>
  <si>
    <t>1.内墙涂料
2.2厚普通腻子两遍
3.15厚1：2.5水泥砂浆抹平压光
4.界面处理
5.基层墙体</t>
  </si>
  <si>
    <t>顶棚装饰</t>
  </si>
  <si>
    <t>1.内墙涂料
2.普通白色腻子两遍刮平
3.5mm厚1:0.5:2水泥石灰膏砂浆找平
4.基层处理干净，界面砂浆一遍
5.钢筋混凝土板</t>
  </si>
  <si>
    <t>屋面</t>
  </si>
  <si>
    <t>1.20厚1:3水泥砂浆保护层（内加钢丝网）
2.3+3厚聚酯胎SBS卷材防水层两道
3.20厚1:3水泥砂浆找平层
4.1:8水泥蛭石找坡层，最薄处30厚
5.80厚挤塑聚苯板保温层
6.钢筋混凝土板</t>
  </si>
  <si>
    <t>屋面铝板装饰</t>
  </si>
  <si>
    <t>2厚深咖色铝板</t>
  </si>
  <si>
    <t>屋面钢结构</t>
  </si>
  <si>
    <t>150*150*6厚镀锌钢管
100*150*6厚镀锌钢管
100*100*6厚镀锌钢管
50*100*5厚镀锌钢管
预埋件：300*300*10厚预埋钢板，4φ18，L=250锚筋焊接</t>
  </si>
  <si>
    <t>屋面装饰</t>
  </si>
  <si>
    <t>5厚铝板雕刻图案</t>
  </si>
  <si>
    <t>石材外墙贴面</t>
  </si>
  <si>
    <t>180厚、130厚、30厚黄锈石荔枝面
保温，干挂
内填A级防火保温材料</t>
  </si>
  <si>
    <t>图纸无石材大样及干挂形式</t>
  </si>
  <si>
    <t>成品壁灯</t>
  </si>
  <si>
    <t>石材台阶</t>
  </si>
  <si>
    <t>1.30厚花岗岩石板铺面
2.25厚1:2.5干硬性水泥砂浆，上撒素水泥，适量清水
3.60厚C15混凝土
4.300厚3:7灰土分两层夯实
5.素土夯实</t>
  </si>
  <si>
    <t>大门</t>
  </si>
  <si>
    <t>按照优化图纸包干施工</t>
  </si>
  <si>
    <t>C15素混凝土，含模板</t>
  </si>
  <si>
    <t>φ16</t>
  </si>
  <si>
    <t>钢结构</t>
  </si>
  <si>
    <t>1.400*400*12*12钢柱
2.HN400*200钢梁
3.HN300*150钢梁</t>
  </si>
  <si>
    <t>混凝土板</t>
  </si>
  <si>
    <t>φ8</t>
  </si>
  <si>
    <t>墙</t>
  </si>
  <si>
    <t>1.C25钢筋混凝土条形基础
2.200mm厚墙体11.2m高，含模板</t>
  </si>
  <si>
    <t>抹灰、涂料、保温</t>
  </si>
  <si>
    <t>女儿墙</t>
  </si>
  <si>
    <t>石材干挂</t>
  </si>
  <si>
    <t>幕墙</t>
  </si>
  <si>
    <t>金属格栅装饰条</t>
  </si>
  <si>
    <t>1.防水、保温
2.铁艺屋面</t>
  </si>
  <si>
    <t>地面</t>
  </si>
  <si>
    <t>听涛阁</t>
  </si>
  <si>
    <t>临水挡墙</t>
  </si>
  <si>
    <t>300厚钢筋混凝土基座C25P6，含模板</t>
  </si>
  <si>
    <t>200厚钢筋混凝土 抗渗等级≥P6，含模板</t>
  </si>
  <si>
    <t>120厚C25钢筋混凝土板 ，含模板</t>
  </si>
  <si>
    <t>C25钢筋混凝土，含模板</t>
  </si>
  <si>
    <t>HRB400三级钢筋14mm
HRB400三级钢筋12mm
HRB400三级钢筋8mm</t>
  </si>
  <si>
    <t>250*250*7方钢柱
250*100*5钢梁，喷深咖色氟碳漆
预埋件：10厚300*300钢板，4φ8锚筋，L=250预埋</t>
  </si>
  <si>
    <t>50*50*5方钢龙骨
2厚铝板，深咖色氟碳漆</t>
  </si>
  <si>
    <t>屋面图纸不详</t>
  </si>
  <si>
    <t>柱面装饰</t>
  </si>
  <si>
    <t>2厚铝板，深咖色氟碳漆，包柱</t>
  </si>
  <si>
    <t>防腐木板装饰</t>
  </si>
  <si>
    <t>优化为铝板，图纸仍为防腐木</t>
  </si>
  <si>
    <t>柱子压顶</t>
  </si>
  <si>
    <t>400*400*20厚芝麻白烧面花岗岩（含结合层）</t>
  </si>
  <si>
    <t>柱脚装饰</t>
  </si>
  <si>
    <t>20厚芝麻白烧面花岗岩（含结合层）</t>
  </si>
  <si>
    <t>金属格栅</t>
  </si>
  <si>
    <t>5厚铝板花纹雕刻
边框：60*60*3厚镀锌钢管，喷深咖色氟碳漆
100*100*5钢板@500，与梁和格栅焊接</t>
  </si>
  <si>
    <t>牌匾</t>
  </si>
  <si>
    <t>30厚防腐木板1400*700</t>
  </si>
  <si>
    <t>250*250芝麻灰烧面立柱8个
L*200*50芝麻灰烧面
200*220*100厚芝麻灰支撑短柱7个</t>
  </si>
  <si>
    <t>主入口廊架</t>
  </si>
  <si>
    <t>干挂石材</t>
  </si>
  <si>
    <t>干挂龙骨
600*300*50厚黄金麻荔枝面，造型异形加工</t>
  </si>
  <si>
    <t>干挂龙骨
600*300*50厚黄金麻荔枝面</t>
  </si>
  <si>
    <t>干挂龙骨
900*300*50厚黄金麻，拉槽50*20</t>
  </si>
  <si>
    <t>墙面铺贴</t>
  </si>
  <si>
    <t>600*300*50厚黄金麻荔枝面
水泥砂浆</t>
  </si>
  <si>
    <t>900*300*50厚黄金麻拉槽
水泥砂浆</t>
  </si>
  <si>
    <t>600*300*50厚黄金麻荔枝面（含结合层、龙骨及干挂件）</t>
  </si>
  <si>
    <t>干挂龙骨</t>
  </si>
  <si>
    <t>200*200*10镀锌钢管
60*100*3镀锌钢管</t>
  </si>
  <si>
    <t>钢管柱</t>
  </si>
  <si>
    <t>200*200*10镀锌钢管立柱
预埋件：10厚400*400钢板，4φ12锚筋，L=250预埋</t>
  </si>
  <si>
    <t>钢管柱外包</t>
  </si>
  <si>
    <t>2厚铝板，深咖色</t>
  </si>
  <si>
    <t>铁艺花窗</t>
  </si>
  <si>
    <t>5厚祥云铝板花窗，深咖色</t>
  </si>
  <si>
    <t>铝板包边</t>
  </si>
  <si>
    <t>2厚铝板深咖色，包边</t>
  </si>
  <si>
    <t>600*500*300中国黑光面花岗岩，开50*50槽（含结合层）</t>
  </si>
  <si>
    <t>水池地面</t>
  </si>
  <si>
    <t>600*330*20厚中国黑光面花岗岩
5mm厚胶泥结合层</t>
  </si>
  <si>
    <t>水池贴面</t>
  </si>
  <si>
    <t>20厚中国黑光面花岗岩贴面
5mm厚胶泥结合层</t>
  </si>
  <si>
    <t>防水</t>
  </si>
  <si>
    <t>15厚水泥砂浆保护层掺5%防水剂
4厚Ⅱ型SBS改性沥青防水层
20厚1:2.5水泥砂浆找平层</t>
  </si>
  <si>
    <t>C20混凝土垫层</t>
  </si>
  <si>
    <t>120厚C20混凝土，含模板</t>
  </si>
  <si>
    <t>φ8@150双层双向</t>
  </si>
  <si>
    <t>600*600*100中国黑压顶，异形，开30*30槽</t>
  </si>
  <si>
    <t>狮子雕塑</t>
  </si>
  <si>
    <t>500高芝麻灰动物雕塑</t>
  </si>
  <si>
    <t>异形石材压顶</t>
  </si>
  <si>
    <t>600*300*70厚中国黑光面，异形加工</t>
  </si>
  <si>
    <t>异形石材</t>
  </si>
  <si>
    <t>600*566*70中国黑光面，异形加工</t>
  </si>
  <si>
    <t>200厚6-10黑色砾石散置</t>
  </si>
  <si>
    <t>无纺布</t>
  </si>
  <si>
    <t>排水沟盖板</t>
  </si>
  <si>
    <t>600*320*5厚不锈钢盖板
30*30*4镀锌角钢
φ12，L=150锚筋固定</t>
  </si>
  <si>
    <t>泵坑</t>
  </si>
  <si>
    <t>座</t>
  </si>
  <si>
    <t>无详图</t>
  </si>
  <si>
    <t>不锈钢收边</t>
  </si>
  <si>
    <t>1.5厚60宽304不锈钢收边条收边
外侧边缘磨圆角R2                                       2、50*50*3角钢@600，与不锈钢条焊接连接M6膨胀螺栓固定</t>
  </si>
  <si>
    <t>玻璃屋面</t>
  </si>
  <si>
    <t>8+0.76+8钢化夹胶玻璃
10宽硅酮密封胶密封</t>
  </si>
  <si>
    <t>钢结构屋面</t>
  </si>
  <si>
    <t>200*300*10厚镀锌钢管
150*350*8厚镀锌钢管
100*100*5厚镀锌钢管
50*100*4厚镀锌钢管
50*50*4厚镀锌钢管
80*100*5厚镀锌钢管
40*40*3厚镀锌钢管</t>
  </si>
  <si>
    <t>铝板装饰屋面</t>
  </si>
  <si>
    <t>2厚铝板外包，深咖色</t>
  </si>
  <si>
    <t>铝格栅</t>
  </si>
  <si>
    <t>80*150*2厚铝格栅</t>
  </si>
  <si>
    <t>成品护栏</t>
  </si>
  <si>
    <t>不锈钢制扶手
不锈钢制立柱
茶色玻璃</t>
  </si>
  <si>
    <t>无不锈钢厚度、规格</t>
  </si>
  <si>
    <t>异形石材干挂</t>
  </si>
  <si>
    <t>600*1190*150厚黄金麻荔枝面花岗岩，造型异形加工（含结合层、干挂龙骨及干挂件）</t>
  </si>
  <si>
    <t>黄金麻花岗岩，干挂（含结合层、干挂龙骨及干挂件）</t>
  </si>
  <si>
    <t>图纸无石材规格材质</t>
  </si>
  <si>
    <t>5厚铝板花纹雕刻，深咖色</t>
  </si>
  <si>
    <t>2厚铝板外包</t>
  </si>
  <si>
    <t>金属格栅钢结构</t>
  </si>
  <si>
    <t>60*40*3厚镀锌钢管
80*60*3厚镀锌钢管
100*80*3厚镀锌钢管
60*30*2厚镀锌钢管
M8膨胀螺栓</t>
  </si>
  <si>
    <t>车库出入口一</t>
  </si>
  <si>
    <t>矩形梁</t>
  </si>
  <si>
    <t>HRB400三级钢筋16mm
HRB400三级钢筋8mm</t>
  </si>
  <si>
    <t>涂料墙面</t>
  </si>
  <si>
    <t>外喷仿黄金麻岩彩漆
20厚1:2.5水泥砂浆保护层</t>
  </si>
  <si>
    <t>200*100*5厚镀锌钢管钢柱
100*100*5厚镀锌钢管钢柱
100*300*5厚镀锌钢管钢梁
50*50*3厚镀锌钢管钢梁</t>
  </si>
  <si>
    <t>50*100*2铝格栅</t>
  </si>
  <si>
    <t>2厚铝板，深咖色氟碳漆</t>
  </si>
  <si>
    <t>侧面玻璃</t>
  </si>
  <si>
    <t>8+0.76+8钢化夹胶玻璃</t>
  </si>
  <si>
    <t>车库出入口二</t>
  </si>
  <si>
    <t>200*100*5厚镀锌钢管钢柱
100*100*5厚镀锌钢管钢柱
50*50*3厚镀锌钢管钢梁</t>
  </si>
  <si>
    <t>人行出入口一、二、三、四</t>
  </si>
  <si>
    <t>钢柱：HM194*150*6*9 H型钢，外喷木栗色氟碳漆
钢梁：HM194*150*6*9 H型钢，外喷木栗色氟碳漆
100*150*3镀锌钢管，外喷木栗色氟碳漆
100*50*2镀锌钢管，外喷木栗色氟碳漆
预埋件：M12化学螺栓，250*250*8厚预埋钢板</t>
  </si>
  <si>
    <t>8+8夹胶钢化玻璃</t>
  </si>
  <si>
    <t>50厚芝麻灰踏步，单面倒角
25厚芝麻灰踢面</t>
  </si>
  <si>
    <t>投影面积，4.1图纸无台阶材质</t>
  </si>
  <si>
    <t>防护栏杆  600高（60X40X1.5外喷木栗色氟碳漆）</t>
  </si>
  <si>
    <t>风井</t>
  </si>
  <si>
    <t>铝合金防雨百叶</t>
  </si>
  <si>
    <t>儿童玩乐1</t>
  </si>
  <si>
    <t>儿童玩乐2</t>
  </si>
  <si>
    <t>儿童玩乐3</t>
  </si>
  <si>
    <t>休闲沙发</t>
  </si>
  <si>
    <t>组</t>
  </si>
  <si>
    <t>生活垃圾桶</t>
  </si>
  <si>
    <t>康体健身1</t>
  </si>
  <si>
    <t>秋千</t>
  </si>
  <si>
    <t>小区总平面图标识</t>
  </si>
  <si>
    <t>景观垃圾桶</t>
  </si>
  <si>
    <t>休闲坐凳</t>
  </si>
  <si>
    <t>伞棚座椅</t>
  </si>
  <si>
    <t>石桌</t>
  </si>
  <si>
    <t>摇摇乐</t>
  </si>
  <si>
    <t>抱鼓石</t>
  </si>
  <si>
    <t>康体健身2</t>
  </si>
  <si>
    <t>其他项</t>
  </si>
  <si>
    <t>整理绿地，含地形塑造</t>
  </si>
  <si>
    <t>现场内倒运土方，地形整理，堆土，平土、捡垃圾、碾压，人工平整等</t>
  </si>
  <si>
    <t>缝隙式排水沟</t>
  </si>
  <si>
    <t>含沟体结构及沟篦子</t>
  </si>
  <si>
    <t>3月25日图纸优化调整位置</t>
  </si>
  <si>
    <t>补充项</t>
  </si>
  <si>
    <t>下沉广场内走廊地面石材</t>
  </si>
  <si>
    <r>
      <rPr>
        <sz val="11"/>
        <rFont val="宋体"/>
        <charset val="134"/>
      </rPr>
      <t>1、10厚仿石材砖；</t>
    </r>
    <r>
      <rPr>
        <sz val="11"/>
        <color rgb="FFFF0000"/>
        <rFont val="宋体"/>
        <charset val="134"/>
      </rPr>
      <t xml:space="preserve">600*600*10厚芝麻黑仿石砖                              </t>
    </r>
    <r>
      <rPr>
        <sz val="11"/>
        <rFont val="宋体"/>
        <charset val="134"/>
      </rPr>
      <t>2、30厚结合层</t>
    </r>
  </si>
  <si>
    <r>
      <rPr>
        <sz val="11"/>
        <rFont val="宋体"/>
        <charset val="134"/>
      </rPr>
      <t>1200*600*50厚芝麻</t>
    </r>
    <r>
      <rPr>
        <sz val="11"/>
        <color rgb="FFFF0000"/>
        <rFont val="宋体"/>
        <charset val="134"/>
      </rPr>
      <t>白</t>
    </r>
    <r>
      <rPr>
        <sz val="11"/>
        <rFont val="宋体"/>
        <charset val="134"/>
      </rPr>
      <t>火烧面花岗岩
倒角10*10  （含结合层）</t>
    </r>
  </si>
  <si>
    <t>3月25日图纸优化增加一圈台阶</t>
  </si>
  <si>
    <t>4处下沉楼梯</t>
  </si>
  <si>
    <t>600*350*50厚芝麻黑火烧面花岗岩楼梯踏面，
倒角10*10；（含结合层）</t>
  </si>
  <si>
    <t>600*100*25厚芝麻黑火烧面花岗岩楼梯踢面，
（含结合层）</t>
  </si>
  <si>
    <t>600*600*30厚芝麻黑火烧面花岗岩楼梯平台，
（含结合层）</t>
  </si>
  <si>
    <t>楼梯栏杆</t>
  </si>
  <si>
    <t>不在范围内</t>
  </si>
  <si>
    <t>下沉广场四周玻璃护栏</t>
  </si>
  <si>
    <t>玻璃护栏（蓝色双层夹胶玻璃+拉丝不锈钢）</t>
  </si>
  <si>
    <t>土方</t>
  </si>
  <si>
    <t>地形土方</t>
  </si>
  <si>
    <t>地库顶板787.25</t>
  </si>
  <si>
    <t>井盖装饰</t>
  </si>
  <si>
    <t>园区内井盖装饰</t>
  </si>
  <si>
    <t>单项总价包干</t>
  </si>
  <si>
    <t>空调外机装饰</t>
  </si>
  <si>
    <t>长度</t>
  </si>
  <si>
    <t>200*200*300 C20钢筋混凝土独立基础</t>
  </si>
  <si>
    <t>150*150*5厚钢板@800,M16化学螺栓</t>
  </si>
  <si>
    <t>50*120*5厚镀锌钢管内刷红丹，外喷深咖色氟碳漆</t>
  </si>
  <si>
    <t>50*50*5厚镀锌钢管内刷红丹，外喷深咖色氟碳漆</t>
  </si>
  <si>
    <t>20*30*3厚镀锌钢管内刷红丹，外喷深咖色氟碳漆</t>
  </si>
  <si>
    <t>3厚镀锌钢板雕刻，深咖色</t>
  </si>
  <si>
    <t>原优化为镀锌多孔板</t>
  </si>
  <si>
    <t>纤维板</t>
  </si>
  <si>
    <t>4.1日图纸增加</t>
  </si>
  <si>
    <t>隔音板</t>
  </si>
  <si>
    <t>围墙清单报价表</t>
  </si>
  <si>
    <t>标准段围墙 137段</t>
  </si>
  <si>
    <t>m³</t>
  </si>
  <si>
    <t>㎡</t>
  </si>
  <si>
    <t>M7.5水泥砂浆砌筑MU10砖基础</t>
  </si>
  <si>
    <t>M7.5水泥砂浆砌筑MU10砖柱</t>
  </si>
  <si>
    <t>防潮层</t>
  </si>
  <si>
    <t>600*360*20厚芝麻灰光面花岗岩</t>
  </si>
  <si>
    <t>600*30*20芝麻灰光面花岗岩</t>
  </si>
  <si>
    <t>600*320*60芝麻灰光面花岗岩</t>
  </si>
  <si>
    <t>120厚C15混凝土，含模板</t>
  </si>
  <si>
    <t>预埋件：100*100*5厚钢板/HPB300 钢筋ø8 L=100</t>
  </si>
  <si>
    <t>520*220*30厚芝麻灰光面花岗岩</t>
  </si>
  <si>
    <t>400*220*30厚芝麻灰光面花岗岩</t>
  </si>
  <si>
    <t>30厚深咖色人造砂岩饰板</t>
  </si>
  <si>
    <t>铁艺栏杆，高1.57</t>
  </si>
  <si>
    <t>M7.5水泥砂浆砌筑MU10砖(柱顶）</t>
  </si>
  <si>
    <t>挡土墙</t>
  </si>
  <si>
    <t>C30钢筋混凝土，含模板及钢筋</t>
  </si>
  <si>
    <t>20厚芝麻灰贴面
20厚水泥砂浆</t>
  </si>
  <si>
    <t>绿化工程清单价格表</t>
  </si>
  <si>
    <t>图例</t>
  </si>
  <si>
    <t>苗木名称</t>
  </si>
  <si>
    <t>规格(CM)</t>
  </si>
  <si>
    <t>地径</t>
  </si>
  <si>
    <t>胸径</t>
  </si>
  <si>
    <t>冠幅</t>
  </si>
  <si>
    <t>高度</t>
  </si>
  <si>
    <t>丛生蒙古栎</t>
  </si>
  <si>
    <t>株</t>
  </si>
  <si>
    <t>500-550</t>
  </si>
  <si>
    <t>850-900</t>
  </si>
  <si>
    <t>从地面开始分枝,每株分枝8-12枝,
每枝粗度10公分以上,树形优美。</t>
  </si>
  <si>
    <t>主材甲供</t>
  </si>
  <si>
    <t>蒙古栎</t>
  </si>
  <si>
    <t>400-450</t>
  </si>
  <si>
    <t>三级分枝以上,每级分枝3杆以上,全冠
第一分枝点离地面2%%p0.2m,树形优美。</t>
  </si>
  <si>
    <t>丛生五角枫</t>
  </si>
  <si>
    <t>380-420</t>
  </si>
  <si>
    <t>550-600</t>
  </si>
  <si>
    <t>从地面开始分枝,每株分枝8-12枝,
每枝粗度8公分以上,树形优美。</t>
  </si>
  <si>
    <t>五角枫</t>
  </si>
  <si>
    <t>450-500</t>
  </si>
  <si>
    <t>800-850</t>
  </si>
  <si>
    <t>三级分枝以上,每级分枝3-5杆,全冠
第一分枝点离地面1.5%%p0.2m,树形优美。</t>
  </si>
  <si>
    <t>低分枝国槐</t>
  </si>
  <si>
    <t>三级分枝以上,每级分枝3杆以上,全冠
第一分枝点离地面1.5%%p0.2m,树形优美。</t>
  </si>
  <si>
    <r>
      <rPr>
        <sz val="10"/>
        <rFont val="宋体"/>
        <charset val="134"/>
      </rPr>
      <t>国槐</t>
    </r>
    <r>
      <rPr>
        <sz val="10"/>
        <rFont val="Arial"/>
        <charset val="134"/>
      </rPr>
      <t>A</t>
    </r>
  </si>
  <si>
    <t>国槐A</t>
  </si>
  <si>
    <t>1100以上</t>
  </si>
  <si>
    <t>四级分枝以上,主枝分枝3-5杆,全冠
第一分枝点离地面2.8%%p0.2m,树形优美。</t>
  </si>
  <si>
    <r>
      <rPr>
        <sz val="10"/>
        <rFont val="宋体"/>
        <charset val="134"/>
      </rPr>
      <t>国槐</t>
    </r>
    <r>
      <rPr>
        <sz val="10"/>
        <rFont val="Arial"/>
        <charset val="134"/>
      </rPr>
      <t>B</t>
    </r>
  </si>
  <si>
    <t>国槐B</t>
  </si>
  <si>
    <t>950-1000</t>
  </si>
  <si>
    <t>四级分枝以上,主枝分枝3-5杆,全冠
第一分枝点离地面2.5%%p0.2m,树形优美。</t>
  </si>
  <si>
    <r>
      <rPr>
        <sz val="10"/>
        <rFont val="宋体"/>
        <charset val="134"/>
      </rPr>
      <t>国槐</t>
    </r>
    <r>
      <rPr>
        <sz val="10"/>
        <rFont val="Arial"/>
        <charset val="134"/>
      </rPr>
      <t>C</t>
    </r>
  </si>
  <si>
    <t>国槐C</t>
  </si>
  <si>
    <t>450-480</t>
  </si>
  <si>
    <t>三级分枝以上,每级分枝3杆以上,全冠
第一分枝点离地面2.2%%p0.2m,树形优美。</t>
  </si>
  <si>
    <r>
      <rPr>
        <sz val="10"/>
        <rFont val="宋体"/>
        <charset val="134"/>
      </rPr>
      <t>国槐</t>
    </r>
    <r>
      <rPr>
        <sz val="10"/>
        <rFont val="Arial"/>
        <charset val="134"/>
      </rPr>
      <t>D</t>
    </r>
  </si>
  <si>
    <t>国槐D</t>
  </si>
  <si>
    <t>350-400</t>
  </si>
  <si>
    <t>600-650</t>
  </si>
  <si>
    <t>三级分枝以上,每级分枝3杆以上,全冠
第一分枝点离地面1.8%%p0.2m,树形优美。</t>
  </si>
  <si>
    <r>
      <rPr>
        <sz val="10"/>
        <rFont val="宋体"/>
        <charset val="134"/>
      </rPr>
      <t>白蜡</t>
    </r>
    <r>
      <rPr>
        <sz val="10"/>
        <rFont val="Arial"/>
        <charset val="134"/>
      </rPr>
      <t>A</t>
    </r>
  </si>
  <si>
    <t>白蜡A</t>
  </si>
  <si>
    <t>900-950</t>
  </si>
  <si>
    <t>白蜡B</t>
  </si>
  <si>
    <r>
      <rPr>
        <sz val="10"/>
        <rFont val="宋体"/>
        <charset val="134"/>
      </rPr>
      <t>白蜡</t>
    </r>
    <r>
      <rPr>
        <sz val="10"/>
        <rFont val="Arial"/>
        <charset val="134"/>
      </rPr>
      <t>B</t>
    </r>
  </si>
  <si>
    <t>垂柳</t>
  </si>
  <si>
    <t>三级分枝以上,每级分枝3杆以上,全冠
第一分枝点离地面2%%p0.2m,树形舒展。</t>
  </si>
  <si>
    <t>银杏</t>
  </si>
  <si>
    <t>三级分枝以上,每级分枝3杆以上,全冠
第一分枝点离地面2.2%%p0.2m,树形挺拔。</t>
  </si>
  <si>
    <r>
      <rPr>
        <sz val="10"/>
        <rFont val="宋体"/>
        <charset val="134"/>
      </rPr>
      <t>北方栾树</t>
    </r>
    <r>
      <rPr>
        <sz val="10"/>
        <rFont val="Arial"/>
        <charset val="134"/>
      </rPr>
      <t>A</t>
    </r>
  </si>
  <si>
    <t>北方栾树A</t>
  </si>
  <si>
    <t>三级分枝以上,每级分枝3杆以上,全冠
第一分枝点离地面2.5%%p0.2m,树形优美。</t>
  </si>
  <si>
    <r>
      <rPr>
        <sz val="10"/>
        <rFont val="宋体"/>
        <charset val="134"/>
      </rPr>
      <t>北方栾树</t>
    </r>
    <r>
      <rPr>
        <sz val="10"/>
        <rFont val="Arial"/>
        <charset val="134"/>
      </rPr>
      <t>B</t>
    </r>
  </si>
  <si>
    <t>北方栾树B</t>
  </si>
  <si>
    <t>三级分枝以上,每级分枝3杆以上,全冠
第一分枝点离地面2.0%%p0.2m,树形优美。</t>
  </si>
  <si>
    <r>
      <rPr>
        <sz val="10"/>
        <rFont val="宋体"/>
        <charset val="134"/>
      </rPr>
      <t>北方栾树</t>
    </r>
    <r>
      <rPr>
        <sz val="10"/>
        <rFont val="Arial"/>
        <charset val="134"/>
      </rPr>
      <t>C</t>
    </r>
  </si>
  <si>
    <t>北方栾树C</t>
  </si>
  <si>
    <t>350-380</t>
  </si>
  <si>
    <t>650-700</t>
  </si>
  <si>
    <t>柿树</t>
  </si>
  <si>
    <t>700-750</t>
  </si>
  <si>
    <r>
      <rPr>
        <sz val="10"/>
        <rFont val="宋体"/>
        <charset val="134"/>
      </rPr>
      <t>复叶槭</t>
    </r>
    <r>
      <rPr>
        <sz val="10"/>
        <rFont val="Arial"/>
        <charset val="134"/>
      </rPr>
      <t>A</t>
    </r>
  </si>
  <si>
    <r>
      <rPr>
        <sz val="10"/>
        <rFont val="宋体"/>
        <charset val="134"/>
      </rPr>
      <t>复叶槭</t>
    </r>
    <r>
      <rPr>
        <sz val="10"/>
        <rFont val="Arial"/>
        <charset val="134"/>
      </rPr>
      <t>B</t>
    </r>
  </si>
  <si>
    <t>复叶槭B</t>
  </si>
  <si>
    <t>白皮松</t>
  </si>
  <si>
    <t>360-400</t>
  </si>
  <si>
    <t>全冠,姿佳,冠形饱满</t>
  </si>
  <si>
    <r>
      <rPr>
        <sz val="10"/>
        <rFont val="宋体"/>
        <charset val="134"/>
      </rPr>
      <t>云杉</t>
    </r>
    <r>
      <rPr>
        <sz val="10"/>
        <rFont val="Arial"/>
        <charset val="134"/>
      </rPr>
      <t>A</t>
    </r>
  </si>
  <si>
    <t>云杉A</t>
  </si>
  <si>
    <t>320-380</t>
  </si>
  <si>
    <t>420-450</t>
  </si>
  <si>
    <t>云杉B</t>
  </si>
  <si>
    <r>
      <rPr>
        <sz val="10"/>
        <rFont val="宋体"/>
        <charset val="134"/>
      </rPr>
      <t>云杉</t>
    </r>
    <r>
      <rPr>
        <sz val="10"/>
        <rFont val="Arial"/>
        <charset val="134"/>
      </rPr>
      <t>B</t>
    </r>
  </si>
  <si>
    <t>250-280</t>
  </si>
  <si>
    <t>320-350</t>
  </si>
  <si>
    <t>油松</t>
  </si>
  <si>
    <t>260-300</t>
  </si>
  <si>
    <t>380-320</t>
  </si>
  <si>
    <t>暴马丁香A</t>
  </si>
  <si>
    <r>
      <rPr>
        <sz val="10"/>
        <rFont val="宋体"/>
        <charset val="134"/>
      </rPr>
      <t>暴马丁香</t>
    </r>
    <r>
      <rPr>
        <sz val="10"/>
        <rFont val="Arial"/>
        <charset val="134"/>
      </rPr>
      <t>A</t>
    </r>
  </si>
  <si>
    <r>
      <rPr>
        <sz val="10"/>
        <rFont val="宋体"/>
        <charset val="134"/>
      </rPr>
      <t>暴马丁香</t>
    </r>
    <r>
      <rPr>
        <sz val="10"/>
        <rFont val="Arial"/>
        <charset val="134"/>
      </rPr>
      <t>B</t>
    </r>
  </si>
  <si>
    <t>暴马丁香B</t>
  </si>
  <si>
    <t>250-300</t>
  </si>
  <si>
    <t>三级分枝以上,每级分枝3杆以上,全冠
第一分枝点离地面1%%p0.2m,树形优美。</t>
  </si>
  <si>
    <r>
      <rPr>
        <sz val="10"/>
        <rFont val="宋体"/>
        <charset val="134"/>
      </rPr>
      <t>黄栌</t>
    </r>
    <r>
      <rPr>
        <sz val="10"/>
        <rFont val="Arial"/>
        <charset val="134"/>
      </rPr>
      <t>A</t>
    </r>
  </si>
  <si>
    <t>黄栌A</t>
  </si>
  <si>
    <t>500-520</t>
  </si>
  <si>
    <t>灌木状,姿佳,全冠,主枝7-10分枝,
每分枝粗度6-8cm,分枝点离地面0.6m。</t>
  </si>
  <si>
    <r>
      <rPr>
        <sz val="10"/>
        <rFont val="宋体"/>
        <charset val="134"/>
      </rPr>
      <t>黄栌</t>
    </r>
    <r>
      <rPr>
        <sz val="10"/>
        <rFont val="Arial"/>
        <charset val="134"/>
      </rPr>
      <t>B</t>
    </r>
  </si>
  <si>
    <t>黄栌B</t>
  </si>
  <si>
    <t>320-340</t>
  </si>
  <si>
    <t>灌木状,姿佳,全冠,主枝6-10分枝,
每分枝粗度5-8cm,分枝点离地面0.6m。</t>
  </si>
  <si>
    <r>
      <rPr>
        <sz val="10"/>
        <rFont val="宋体"/>
        <charset val="134"/>
      </rPr>
      <t>红叶李</t>
    </r>
    <r>
      <rPr>
        <sz val="10"/>
        <rFont val="Arial"/>
        <charset val="134"/>
      </rPr>
      <t>A</t>
    </r>
  </si>
  <si>
    <t>红叶李A</t>
  </si>
  <si>
    <t>480-520</t>
  </si>
  <si>
    <t>灌木状,姿佳,
分枝点离地面0.5m。</t>
  </si>
  <si>
    <r>
      <rPr>
        <sz val="10"/>
        <rFont val="宋体"/>
        <charset val="134"/>
      </rPr>
      <t>红叶李</t>
    </r>
    <r>
      <rPr>
        <sz val="10"/>
        <rFont val="Arial"/>
        <charset val="134"/>
      </rPr>
      <t>B</t>
    </r>
  </si>
  <si>
    <t>红叶李B</t>
  </si>
  <si>
    <t>300-320</t>
  </si>
  <si>
    <r>
      <rPr>
        <sz val="10"/>
        <rFont val="宋体"/>
        <charset val="134"/>
      </rPr>
      <t>红叶李</t>
    </r>
    <r>
      <rPr>
        <sz val="10"/>
        <rFont val="Arial"/>
        <charset val="134"/>
      </rPr>
      <t>C</t>
    </r>
  </si>
  <si>
    <t>红叶李C</t>
  </si>
  <si>
    <t>280-300</t>
  </si>
  <si>
    <t>灌木状,姿佳,
分枝点离地面不高于0.5m。</t>
  </si>
  <si>
    <r>
      <rPr>
        <sz val="10"/>
        <rFont val="宋体"/>
        <charset val="134"/>
      </rPr>
      <t>绚丽海棠</t>
    </r>
    <r>
      <rPr>
        <sz val="10"/>
        <rFont val="Arial"/>
        <charset val="134"/>
      </rPr>
      <t>A</t>
    </r>
  </si>
  <si>
    <t>绚丽海棠A</t>
  </si>
  <si>
    <t>灌木状,姿佳,全冠,主枝8-10分枝,
每分枝粗度6-8cm,分枝点离地面不高于0.3m。</t>
  </si>
  <si>
    <r>
      <rPr>
        <sz val="10"/>
        <rFont val="宋体"/>
        <charset val="134"/>
      </rPr>
      <t>绚丽海棠</t>
    </r>
    <r>
      <rPr>
        <sz val="10"/>
        <rFont val="Arial"/>
        <charset val="134"/>
      </rPr>
      <t>B</t>
    </r>
  </si>
  <si>
    <t>绚丽海棠B</t>
  </si>
  <si>
    <t>灌木状,姿佳,全冠,主枝7-10分枝,
每分枝粗度5-7cm,分枝点离地面不高于0.5m。</t>
  </si>
  <si>
    <r>
      <rPr>
        <sz val="10"/>
        <rFont val="宋体"/>
        <charset val="134"/>
      </rPr>
      <t>山杏</t>
    </r>
    <r>
      <rPr>
        <sz val="10"/>
        <rFont val="Arial"/>
        <charset val="134"/>
      </rPr>
      <t>A</t>
    </r>
  </si>
  <si>
    <t>山杏A</t>
  </si>
  <si>
    <t>400-420</t>
  </si>
  <si>
    <t>灌木状,姿佳,全冠,主枝8-10分枝,
每分枝粗度6-8cm,分枝点离地面0.3m。</t>
  </si>
  <si>
    <r>
      <rPr>
        <sz val="10"/>
        <rFont val="宋体"/>
        <charset val="134"/>
      </rPr>
      <t>山杏</t>
    </r>
    <r>
      <rPr>
        <sz val="10"/>
        <rFont val="Arial"/>
        <charset val="134"/>
      </rPr>
      <t>B</t>
    </r>
  </si>
  <si>
    <t>山杏B</t>
  </si>
  <si>
    <t>灌木状,姿佳,全冠,主枝6-10分枝,
每分枝粗度5-8cm,分枝点离地面0.3m。</t>
  </si>
  <si>
    <t>山杏C</t>
  </si>
  <si>
    <r>
      <rPr>
        <sz val="10"/>
        <rFont val="宋体"/>
        <charset val="134"/>
      </rPr>
      <t>山杏</t>
    </r>
    <r>
      <rPr>
        <sz val="10"/>
        <rFont val="Arial"/>
        <charset val="134"/>
      </rPr>
      <t>C</t>
    </r>
  </si>
  <si>
    <t>320-360</t>
  </si>
  <si>
    <r>
      <rPr>
        <sz val="10"/>
        <rFont val="宋体"/>
        <charset val="134"/>
      </rPr>
      <t>山楂</t>
    </r>
    <r>
      <rPr>
        <sz val="10"/>
        <rFont val="Arial"/>
        <charset val="134"/>
      </rPr>
      <t>A</t>
    </r>
  </si>
  <si>
    <t>山楂A</t>
  </si>
  <si>
    <r>
      <rPr>
        <sz val="10"/>
        <rFont val="宋体"/>
        <charset val="134"/>
      </rPr>
      <t>山楂</t>
    </r>
    <r>
      <rPr>
        <sz val="10"/>
        <rFont val="Arial"/>
        <charset val="134"/>
      </rPr>
      <t>B</t>
    </r>
  </si>
  <si>
    <t>山楂B</t>
  </si>
  <si>
    <r>
      <rPr>
        <sz val="10"/>
        <rFont val="宋体"/>
        <charset val="134"/>
      </rPr>
      <t>山楂</t>
    </r>
    <r>
      <rPr>
        <sz val="10"/>
        <rFont val="Arial"/>
        <charset val="134"/>
      </rPr>
      <t>C</t>
    </r>
  </si>
  <si>
    <t>山楂C</t>
  </si>
  <si>
    <r>
      <rPr>
        <sz val="10"/>
        <rFont val="宋体"/>
        <charset val="134"/>
      </rPr>
      <t>山桃</t>
    </r>
    <r>
      <rPr>
        <sz val="10"/>
        <rFont val="Arial"/>
        <charset val="134"/>
      </rPr>
      <t>A</t>
    </r>
  </si>
  <si>
    <t>山桃A</t>
  </si>
  <si>
    <t>380-400</t>
  </si>
  <si>
    <r>
      <rPr>
        <sz val="10"/>
        <rFont val="宋体"/>
        <charset val="134"/>
      </rPr>
      <t>山桃</t>
    </r>
    <r>
      <rPr>
        <sz val="10"/>
        <rFont val="Arial"/>
        <charset val="134"/>
      </rPr>
      <t>B</t>
    </r>
  </si>
  <si>
    <t>山桃B</t>
  </si>
  <si>
    <t>八棱海棠</t>
  </si>
  <si>
    <t>灌木状,姿佳,全冠,主枝6-10分枝,
每分枝粗度5-8cm,分枝点离地面0.5m。</t>
  </si>
  <si>
    <r>
      <rPr>
        <sz val="10"/>
        <rFont val="宋体"/>
        <charset val="134"/>
      </rPr>
      <t>果海棠</t>
    </r>
    <r>
      <rPr>
        <sz val="10"/>
        <rFont val="Arial"/>
        <charset val="134"/>
      </rPr>
      <t>A</t>
    </r>
  </si>
  <si>
    <t>果海棠A</t>
  </si>
  <si>
    <t>灌木状,姿佳,全冠,主枝8-10分枝,
每分枝粗度6-8cm,分枝点离地面0.5m。</t>
  </si>
  <si>
    <r>
      <rPr>
        <sz val="10"/>
        <rFont val="宋体"/>
        <charset val="134"/>
      </rPr>
      <t>果海棠</t>
    </r>
    <r>
      <rPr>
        <sz val="10"/>
        <rFont val="Arial"/>
        <charset val="134"/>
      </rPr>
      <t>B</t>
    </r>
  </si>
  <si>
    <t>果海棠B</t>
  </si>
  <si>
    <t>300-340</t>
  </si>
  <si>
    <r>
      <rPr>
        <sz val="10"/>
        <rFont val="宋体"/>
        <charset val="134"/>
      </rPr>
      <t>北美海棠</t>
    </r>
    <r>
      <rPr>
        <sz val="10"/>
        <rFont val="Arial"/>
        <charset val="134"/>
      </rPr>
      <t>A</t>
    </r>
  </si>
  <si>
    <t>北美海棠A</t>
  </si>
  <si>
    <t>北美海棠B</t>
  </si>
  <si>
    <r>
      <rPr>
        <sz val="10"/>
        <rFont val="宋体"/>
        <charset val="134"/>
      </rPr>
      <t>北美海棠</t>
    </r>
    <r>
      <rPr>
        <sz val="10"/>
        <rFont val="Arial"/>
        <charset val="134"/>
      </rPr>
      <t>B</t>
    </r>
  </si>
  <si>
    <t>260-280</t>
  </si>
  <si>
    <t>240-260</t>
  </si>
  <si>
    <t>灌木状,姿佳,
分枝点离地面0.3m。</t>
  </si>
  <si>
    <t>特选梨树</t>
  </si>
  <si>
    <t>340-360</t>
  </si>
  <si>
    <t>灌木状,姿佳,全冠,主枝8-10分枝,
枝径6-8cm,分枝点离地面0.3-0.5m。</t>
  </si>
  <si>
    <t>鸡爪槭A</t>
  </si>
  <si>
    <r>
      <rPr>
        <sz val="10"/>
        <rFont val="宋体"/>
        <charset val="134"/>
      </rPr>
      <t>鸡爪槭</t>
    </r>
    <r>
      <rPr>
        <sz val="10"/>
        <rFont val="Arial"/>
        <charset val="134"/>
      </rPr>
      <t>A</t>
    </r>
  </si>
  <si>
    <t>灌木状,姿佳
分枝点离地面0.3m。</t>
  </si>
  <si>
    <r>
      <rPr>
        <sz val="10"/>
        <rFont val="宋体"/>
        <charset val="134"/>
      </rPr>
      <t>鸡爪槭</t>
    </r>
    <r>
      <rPr>
        <sz val="10"/>
        <rFont val="Arial"/>
        <charset val="134"/>
      </rPr>
      <t>B</t>
    </r>
  </si>
  <si>
    <t>鸡爪槭B</t>
  </si>
  <si>
    <t>220-240</t>
  </si>
  <si>
    <t>200-220</t>
  </si>
  <si>
    <t>日本晚樱A</t>
  </si>
  <si>
    <r>
      <rPr>
        <sz val="10"/>
        <rFont val="宋体"/>
        <charset val="134"/>
      </rPr>
      <t>日本晚樱</t>
    </r>
    <r>
      <rPr>
        <sz val="10"/>
        <rFont val="Arial"/>
        <charset val="134"/>
      </rPr>
      <t>A</t>
    </r>
  </si>
  <si>
    <r>
      <rPr>
        <sz val="10"/>
        <rFont val="宋体"/>
        <charset val="134"/>
      </rPr>
      <t>日本晚樱</t>
    </r>
    <r>
      <rPr>
        <sz val="10"/>
        <rFont val="Arial"/>
        <charset val="134"/>
      </rPr>
      <t>B</t>
    </r>
  </si>
  <si>
    <t>日本晚樱B</t>
  </si>
  <si>
    <r>
      <rPr>
        <sz val="10"/>
        <rFont val="宋体"/>
        <charset val="134"/>
      </rPr>
      <t>红花碧桃</t>
    </r>
    <r>
      <rPr>
        <sz val="10"/>
        <rFont val="Arial"/>
        <charset val="134"/>
      </rPr>
      <t>A</t>
    </r>
  </si>
  <si>
    <t>红花碧桃A</t>
  </si>
  <si>
    <r>
      <rPr>
        <sz val="10"/>
        <rFont val="宋体"/>
        <charset val="134"/>
      </rPr>
      <t>红花碧桃</t>
    </r>
    <r>
      <rPr>
        <sz val="10"/>
        <rFont val="Arial"/>
        <charset val="134"/>
      </rPr>
      <t>B</t>
    </r>
  </si>
  <si>
    <t>红花碧桃B</t>
  </si>
  <si>
    <t>石榴</t>
  </si>
  <si>
    <t>220-250</t>
  </si>
  <si>
    <t>美人梅A</t>
  </si>
  <si>
    <r>
      <rPr>
        <sz val="10"/>
        <rFont val="宋体"/>
        <charset val="134"/>
      </rPr>
      <t>美人梅</t>
    </r>
    <r>
      <rPr>
        <sz val="10"/>
        <rFont val="Arial"/>
        <charset val="134"/>
      </rPr>
      <t>A</t>
    </r>
  </si>
  <si>
    <r>
      <rPr>
        <sz val="10"/>
        <rFont val="宋体"/>
        <charset val="134"/>
      </rPr>
      <t>美人梅</t>
    </r>
    <r>
      <rPr>
        <sz val="10"/>
        <rFont val="Arial"/>
        <charset val="134"/>
      </rPr>
      <t>B</t>
    </r>
  </si>
  <si>
    <t>美人梅B</t>
  </si>
  <si>
    <r>
      <rPr>
        <sz val="10"/>
        <rFont val="宋体"/>
        <charset val="134"/>
      </rPr>
      <t>珍珠梅</t>
    </r>
    <r>
      <rPr>
        <sz val="10"/>
        <rFont val="Arial"/>
        <charset val="134"/>
      </rPr>
      <t>A</t>
    </r>
  </si>
  <si>
    <t>珍珠梅A</t>
  </si>
  <si>
    <t>珍珠梅B</t>
  </si>
  <si>
    <r>
      <rPr>
        <sz val="10"/>
        <rFont val="宋体"/>
        <charset val="134"/>
      </rPr>
      <t>珍珠梅</t>
    </r>
    <r>
      <rPr>
        <sz val="10"/>
        <rFont val="Arial"/>
        <charset val="134"/>
      </rPr>
      <t>B</t>
    </r>
  </si>
  <si>
    <t>180-200</t>
  </si>
  <si>
    <r>
      <rPr>
        <sz val="10"/>
        <rFont val="宋体"/>
        <charset val="134"/>
      </rPr>
      <t>榆叶梅</t>
    </r>
    <r>
      <rPr>
        <sz val="10"/>
        <rFont val="Arial"/>
        <charset val="134"/>
      </rPr>
      <t>A</t>
    </r>
  </si>
  <si>
    <t>榆叶梅A</t>
  </si>
  <si>
    <t>灌木状,姿佳,全冠,主枝6-8分枝,
每分枝粗度5-8cm,分枝点离地面0.3m。 每分枝粗度4-7cm,分枝点离地面0.6m。</t>
  </si>
  <si>
    <t>榆叶梅B</t>
  </si>
  <si>
    <r>
      <rPr>
        <sz val="10"/>
        <rFont val="宋体"/>
        <charset val="134"/>
      </rPr>
      <t>榆叶梅</t>
    </r>
    <r>
      <rPr>
        <sz val="10"/>
        <rFont val="Arial"/>
        <charset val="134"/>
      </rPr>
      <t>B</t>
    </r>
  </si>
  <si>
    <t>丛生月季</t>
  </si>
  <si>
    <t>120-150</t>
  </si>
  <si>
    <t>150-180</t>
  </si>
  <si>
    <t>灌木状,姿佳,
离地开始分枝。</t>
  </si>
  <si>
    <r>
      <rPr>
        <sz val="10"/>
        <rFont val="宋体"/>
        <charset val="134"/>
      </rPr>
      <t>紫荆</t>
    </r>
    <r>
      <rPr>
        <sz val="10"/>
        <rFont val="Arial"/>
        <charset val="134"/>
      </rPr>
      <t>A</t>
    </r>
  </si>
  <si>
    <t>紫荆A</t>
  </si>
  <si>
    <t>丛生,15-20杆/株,每杆粗度为2-4公分。</t>
  </si>
  <si>
    <r>
      <rPr>
        <sz val="10"/>
        <rFont val="宋体"/>
        <charset val="134"/>
      </rPr>
      <t>紫荆</t>
    </r>
    <r>
      <rPr>
        <sz val="10"/>
        <rFont val="Arial"/>
        <charset val="134"/>
      </rPr>
      <t>B</t>
    </r>
  </si>
  <si>
    <t>紫荆B</t>
  </si>
  <si>
    <t>丛生,12-18杆/株,每杆粗度为2-4公分。</t>
  </si>
  <si>
    <t>木槿</t>
  </si>
  <si>
    <t>丛生灌木状,姿佳,每株分枝8-10杆
(如单株植物不满足要求,可选择拼栽)</t>
  </si>
  <si>
    <r>
      <rPr>
        <sz val="10"/>
        <rFont val="宋体"/>
        <charset val="134"/>
      </rPr>
      <t>丁香</t>
    </r>
    <r>
      <rPr>
        <sz val="10"/>
        <rFont val="Arial"/>
        <charset val="134"/>
      </rPr>
      <t>A</t>
    </r>
  </si>
  <si>
    <t>丁香A</t>
  </si>
  <si>
    <t>350-370</t>
  </si>
  <si>
    <t>丛生灌木状,7-10杆/株,姿佳
离地开始分枝。</t>
  </si>
  <si>
    <r>
      <rPr>
        <sz val="10"/>
        <rFont val="宋体"/>
        <charset val="134"/>
      </rPr>
      <t>丁香</t>
    </r>
    <r>
      <rPr>
        <sz val="10"/>
        <rFont val="Arial"/>
        <charset val="134"/>
      </rPr>
      <t>B</t>
    </r>
  </si>
  <si>
    <t>丁香B</t>
  </si>
  <si>
    <r>
      <rPr>
        <sz val="10"/>
        <rFont val="宋体"/>
        <charset val="134"/>
      </rPr>
      <t>丁香</t>
    </r>
    <r>
      <rPr>
        <sz val="10"/>
        <rFont val="Arial"/>
        <charset val="134"/>
      </rPr>
      <t>C</t>
    </r>
  </si>
  <si>
    <t>250-260</t>
  </si>
  <si>
    <t>丛生灌木状,6-8杆/株,姿佳,
离地开始分枝。</t>
  </si>
  <si>
    <t>金银木</t>
  </si>
  <si>
    <t>紫叶矮樱</t>
  </si>
  <si>
    <r>
      <rPr>
        <sz val="10"/>
        <rFont val="宋体"/>
        <charset val="134"/>
      </rPr>
      <t>锦带球</t>
    </r>
    <r>
      <rPr>
        <sz val="10"/>
        <rFont val="Arial"/>
        <charset val="134"/>
      </rPr>
      <t>A</t>
    </r>
  </si>
  <si>
    <t>锦带球A</t>
  </si>
  <si>
    <t>光球,冠形饱满,无缺陷、漏洞</t>
  </si>
  <si>
    <r>
      <rPr>
        <sz val="10"/>
        <rFont val="宋体"/>
        <charset val="134"/>
      </rPr>
      <t>锦带球</t>
    </r>
    <r>
      <rPr>
        <sz val="10"/>
        <rFont val="Arial"/>
        <charset val="134"/>
      </rPr>
      <t>B</t>
    </r>
  </si>
  <si>
    <t>锦带球B</t>
  </si>
  <si>
    <t>卫矛球A</t>
  </si>
  <si>
    <r>
      <rPr>
        <sz val="10"/>
        <rFont val="宋体"/>
        <charset val="134"/>
      </rPr>
      <t>卫矛球</t>
    </r>
    <r>
      <rPr>
        <sz val="10"/>
        <rFont val="Arial"/>
        <charset val="134"/>
      </rPr>
      <t>A</t>
    </r>
  </si>
  <si>
    <t>卫矛球B</t>
  </si>
  <si>
    <r>
      <rPr>
        <sz val="10"/>
        <rFont val="宋体"/>
        <charset val="134"/>
      </rPr>
      <t>卫矛球</t>
    </r>
    <r>
      <rPr>
        <sz val="10"/>
        <rFont val="Arial"/>
        <charset val="134"/>
      </rPr>
      <t>B</t>
    </r>
  </si>
  <si>
    <t>修剪后规格,光球,冠形饱满,无缺陷、漏洞</t>
  </si>
  <si>
    <t>卫矛球C</t>
  </si>
  <si>
    <t>卫矛球D</t>
  </si>
  <si>
    <r>
      <rPr>
        <sz val="10"/>
        <rFont val="宋体"/>
        <charset val="134"/>
      </rPr>
      <t>瓜子黄杨球</t>
    </r>
    <r>
      <rPr>
        <sz val="10"/>
        <rFont val="Arial"/>
        <charset val="134"/>
      </rPr>
      <t>A</t>
    </r>
  </si>
  <si>
    <t>瓜子黄杨球A</t>
  </si>
  <si>
    <t>瓜子黄杨球B</t>
  </si>
  <si>
    <r>
      <rPr>
        <sz val="10"/>
        <rFont val="宋体"/>
        <charset val="134"/>
      </rPr>
      <t>红叶小檗球</t>
    </r>
    <r>
      <rPr>
        <sz val="10"/>
        <rFont val="Arial"/>
        <charset val="134"/>
      </rPr>
      <t>A</t>
    </r>
  </si>
  <si>
    <t>红叶小檗球A</t>
  </si>
  <si>
    <t>红叶小檗球B</t>
  </si>
  <si>
    <r>
      <rPr>
        <sz val="10"/>
        <rFont val="宋体"/>
        <charset val="134"/>
      </rPr>
      <t>金叶女贞球</t>
    </r>
    <r>
      <rPr>
        <sz val="10"/>
        <rFont val="Arial"/>
        <charset val="134"/>
      </rPr>
      <t>A</t>
    </r>
  </si>
  <si>
    <t>金叶女贞球A</t>
  </si>
  <si>
    <t>金叶女贞球B</t>
  </si>
  <si>
    <t>五角枫球A</t>
  </si>
  <si>
    <r>
      <rPr>
        <sz val="10"/>
        <rFont val="宋体"/>
        <charset val="134"/>
      </rPr>
      <t>五角枫球</t>
    </r>
    <r>
      <rPr>
        <sz val="10"/>
        <rFont val="Arial"/>
        <charset val="134"/>
      </rPr>
      <t>A</t>
    </r>
  </si>
  <si>
    <t>五角枫球B</t>
  </si>
  <si>
    <r>
      <rPr>
        <sz val="10"/>
        <rFont val="宋体"/>
        <charset val="134"/>
      </rPr>
      <t>金叶榆球</t>
    </r>
    <r>
      <rPr>
        <sz val="10"/>
        <rFont val="Arial"/>
        <charset val="134"/>
      </rPr>
      <t>A</t>
    </r>
  </si>
  <si>
    <t>金叶榆球A</t>
  </si>
  <si>
    <r>
      <rPr>
        <sz val="10"/>
        <rFont val="宋体"/>
        <charset val="134"/>
      </rPr>
      <t>金叶榆球</t>
    </r>
    <r>
      <rPr>
        <sz val="10"/>
        <rFont val="Arial"/>
        <charset val="134"/>
      </rPr>
      <t>B</t>
    </r>
  </si>
  <si>
    <t>金叶榆球B</t>
  </si>
  <si>
    <t>翠柏球</t>
  </si>
  <si>
    <t>金山
绣线菊</t>
  </si>
  <si>
    <t>金山绣线菊</t>
  </si>
  <si>
    <t>冠形饱满,无缺陷、偏冠 修剪后规格,光球,冠形饱满,无缺陷、漏洞</t>
  </si>
  <si>
    <t>南天竹</t>
  </si>
  <si>
    <t>丛</t>
  </si>
  <si>
    <t>灌木状,姿佳,可多株拼栽成丛</t>
  </si>
  <si>
    <t>细叶芒</t>
  </si>
  <si>
    <t>丛植,姿佳,冬季应注意越冬保温处理</t>
  </si>
  <si>
    <t>凤尾兰</t>
  </si>
  <si>
    <t>金边玉簪</t>
  </si>
  <si>
    <t>矮蒲苇</t>
  </si>
  <si>
    <t>狼尾草</t>
  </si>
  <si>
    <t>阔叶麦冬</t>
  </si>
  <si>
    <t>矮灌木及地被苗木表</t>
  </si>
  <si>
    <t>分类</t>
  </si>
  <si>
    <t>冠幅 高度</t>
  </si>
  <si>
    <t>地被植物</t>
  </si>
  <si>
    <t>北海道黄杨</t>
  </si>
  <si>
    <r>
      <rPr>
        <sz val="10"/>
        <rFont val="Arial"/>
        <charset val="134"/>
      </rPr>
      <t>36</t>
    </r>
    <r>
      <rPr>
        <sz val="10"/>
        <rFont val="宋体"/>
        <charset val="134"/>
      </rPr>
      <t>株</t>
    </r>
    <r>
      <rPr>
        <sz val="10"/>
        <rFont val="Arial"/>
        <charset val="134"/>
      </rPr>
      <t>/m2,</t>
    </r>
    <r>
      <rPr>
        <sz val="10"/>
        <rFont val="宋体"/>
        <charset val="134"/>
      </rPr>
      <t>密植</t>
    </r>
  </si>
  <si>
    <t>卫矛</t>
  </si>
  <si>
    <r>
      <rPr>
        <sz val="10"/>
        <rFont val="宋体"/>
        <charset val="134"/>
      </rPr>
      <t>修剪后规格</t>
    </r>
    <r>
      <rPr>
        <sz val="10"/>
        <rFont val="Arial"/>
        <charset val="134"/>
      </rPr>
      <t>,64</t>
    </r>
    <r>
      <rPr>
        <sz val="10"/>
        <rFont val="宋体"/>
        <charset val="134"/>
      </rPr>
      <t>株</t>
    </r>
    <r>
      <rPr>
        <sz val="10"/>
        <rFont val="Arial"/>
        <charset val="134"/>
      </rPr>
      <t>/m2</t>
    </r>
  </si>
  <si>
    <r>
      <rPr>
        <sz val="10"/>
        <rFont val="宋体"/>
        <charset val="134"/>
      </rPr>
      <t>卫矛</t>
    </r>
    <r>
      <rPr>
        <sz val="10"/>
        <rFont val="Arial"/>
        <charset val="134"/>
      </rPr>
      <t>A</t>
    </r>
  </si>
  <si>
    <r>
      <rPr>
        <sz val="10"/>
        <rFont val="宋体"/>
        <charset val="134"/>
      </rPr>
      <t>修剪后规格</t>
    </r>
    <r>
      <rPr>
        <sz val="10"/>
        <rFont val="Arial"/>
        <charset val="134"/>
      </rPr>
      <t>,36</t>
    </r>
    <r>
      <rPr>
        <sz val="10"/>
        <rFont val="宋体"/>
        <charset val="134"/>
      </rPr>
      <t>株</t>
    </r>
    <r>
      <rPr>
        <sz val="10"/>
        <rFont val="Arial"/>
        <charset val="134"/>
      </rPr>
      <t>/m2</t>
    </r>
  </si>
  <si>
    <t>小叶黄杨</t>
  </si>
  <si>
    <t>金叶榆</t>
  </si>
  <si>
    <r>
      <rPr>
        <sz val="10"/>
        <rFont val="宋体"/>
        <charset val="134"/>
      </rPr>
      <t>修剪后规格</t>
    </r>
    <r>
      <rPr>
        <sz val="10"/>
        <rFont val="Arial"/>
        <charset val="134"/>
      </rPr>
      <t>,30</t>
    </r>
    <r>
      <rPr>
        <sz val="10"/>
        <rFont val="宋体"/>
        <charset val="134"/>
      </rPr>
      <t>株</t>
    </r>
    <r>
      <rPr>
        <sz val="10"/>
        <rFont val="Arial"/>
        <charset val="134"/>
      </rPr>
      <t>/m2</t>
    </r>
  </si>
  <si>
    <r>
      <rPr>
        <sz val="10"/>
        <rFont val="宋体"/>
        <charset val="134"/>
      </rPr>
      <t>金叶女贞</t>
    </r>
    <r>
      <rPr>
        <sz val="10"/>
        <rFont val="Arial"/>
        <charset val="134"/>
      </rPr>
      <t>A</t>
    </r>
  </si>
  <si>
    <t>金叶女贞</t>
  </si>
  <si>
    <r>
      <rPr>
        <sz val="10"/>
        <rFont val="宋体"/>
        <charset val="134"/>
      </rPr>
      <t>修剪后规格</t>
    </r>
    <r>
      <rPr>
        <sz val="10"/>
        <rFont val="Arial"/>
        <charset val="134"/>
      </rPr>
      <t>,49</t>
    </r>
    <r>
      <rPr>
        <sz val="10"/>
        <rFont val="宋体"/>
        <charset val="134"/>
      </rPr>
      <t>株</t>
    </r>
    <r>
      <rPr>
        <sz val="10"/>
        <rFont val="Arial"/>
        <charset val="134"/>
      </rPr>
      <t>/m2</t>
    </r>
  </si>
  <si>
    <r>
      <rPr>
        <sz val="10"/>
        <rFont val="宋体"/>
        <charset val="134"/>
      </rPr>
      <t>红叶小檗</t>
    </r>
    <r>
      <rPr>
        <sz val="10"/>
        <rFont val="Arial"/>
        <charset val="134"/>
      </rPr>
      <t>A</t>
    </r>
  </si>
  <si>
    <t>红叶小檗</t>
  </si>
  <si>
    <r>
      <rPr>
        <sz val="10"/>
        <rFont val="宋体"/>
        <charset val="134"/>
      </rPr>
      <t>金森女贞</t>
    </r>
    <r>
      <rPr>
        <sz val="10"/>
        <rFont val="Arial"/>
        <charset val="134"/>
      </rPr>
      <t>A</t>
    </r>
  </si>
  <si>
    <t>金森女贞</t>
  </si>
  <si>
    <t>宿根花卉</t>
  </si>
  <si>
    <t>蓝花鼠尾草</t>
  </si>
  <si>
    <r>
      <rPr>
        <sz val="10"/>
        <rFont val="宋体"/>
        <charset val="134"/>
      </rPr>
      <t>宿根</t>
    </r>
    <r>
      <rPr>
        <sz val="10"/>
        <rFont val="Arial"/>
        <charset val="134"/>
      </rPr>
      <t>,100</t>
    </r>
    <r>
      <rPr>
        <sz val="10"/>
        <rFont val="宋体"/>
        <charset val="134"/>
      </rPr>
      <t>株</t>
    </r>
    <r>
      <rPr>
        <sz val="10"/>
        <rFont val="Arial"/>
        <charset val="134"/>
      </rPr>
      <t>/m2,</t>
    </r>
    <r>
      <rPr>
        <sz val="10"/>
        <rFont val="宋体"/>
        <charset val="134"/>
      </rPr>
      <t>密植</t>
    </r>
  </si>
  <si>
    <t>大花月季</t>
  </si>
  <si>
    <t>水生植物</t>
  </si>
  <si>
    <t>黄菖蒲</t>
  </si>
  <si>
    <t>30/盆</t>
  </si>
  <si>
    <r>
      <rPr>
        <sz val="10"/>
        <rFont val="Arial"/>
        <charset val="134"/>
      </rPr>
      <t>10</t>
    </r>
    <r>
      <rPr>
        <sz val="10"/>
        <rFont val="宋体"/>
        <charset val="134"/>
      </rPr>
      <t>盆</t>
    </r>
    <r>
      <rPr>
        <sz val="10"/>
        <rFont val="Arial"/>
        <charset val="134"/>
      </rPr>
      <t>/m2,3</t>
    </r>
    <r>
      <rPr>
        <sz val="10"/>
        <rFont val="宋体"/>
        <charset val="134"/>
      </rPr>
      <t>株</t>
    </r>
    <r>
      <rPr>
        <sz val="10"/>
        <rFont val="Arial"/>
        <charset val="134"/>
      </rPr>
      <t>/</t>
    </r>
    <r>
      <rPr>
        <sz val="10"/>
        <rFont val="宋体"/>
        <charset val="134"/>
      </rPr>
      <t>盆</t>
    </r>
  </si>
  <si>
    <t>睡莲</t>
  </si>
  <si>
    <r>
      <rPr>
        <sz val="10"/>
        <rFont val="宋体"/>
        <charset val="134"/>
      </rPr>
      <t>每盆三个芽以上</t>
    </r>
    <r>
      <rPr>
        <sz val="10"/>
        <rFont val="Arial"/>
        <charset val="134"/>
      </rPr>
      <t>,8</t>
    </r>
    <r>
      <rPr>
        <sz val="10"/>
        <rFont val="宋体"/>
        <charset val="134"/>
      </rPr>
      <t>盆</t>
    </r>
    <r>
      <rPr>
        <sz val="10"/>
        <rFont val="Arial"/>
        <charset val="134"/>
      </rPr>
      <t>/m2</t>
    </r>
  </si>
  <si>
    <t>水生美人蕉</t>
  </si>
  <si>
    <t>45/盆</t>
  </si>
  <si>
    <t>荷花</t>
  </si>
  <si>
    <t>千屈菜</t>
  </si>
  <si>
    <r>
      <rPr>
        <sz val="10"/>
        <rFont val="Arial"/>
        <charset val="134"/>
      </rPr>
      <t>49</t>
    </r>
    <r>
      <rPr>
        <sz val="10"/>
        <rFont val="宋体"/>
        <charset val="134"/>
      </rPr>
      <t>株</t>
    </r>
    <r>
      <rPr>
        <sz val="10"/>
        <rFont val="Arial"/>
        <charset val="134"/>
      </rPr>
      <t>/m2,</t>
    </r>
    <r>
      <rPr>
        <sz val="10"/>
        <rFont val="宋体"/>
        <charset val="134"/>
      </rPr>
      <t>密植</t>
    </r>
  </si>
  <si>
    <t>矮地被及
草坪</t>
  </si>
  <si>
    <t>佛甲草</t>
  </si>
  <si>
    <r>
      <rPr>
        <sz val="10"/>
        <rFont val="Arial"/>
        <charset val="134"/>
      </rPr>
      <t>120</t>
    </r>
    <r>
      <rPr>
        <sz val="10"/>
        <rFont val="宋体"/>
        <charset val="134"/>
      </rPr>
      <t>株</t>
    </r>
    <r>
      <rPr>
        <sz val="10"/>
        <rFont val="Arial"/>
        <charset val="134"/>
      </rPr>
      <t>/m2,</t>
    </r>
    <r>
      <rPr>
        <sz val="10"/>
        <rFont val="宋体"/>
        <charset val="134"/>
      </rPr>
      <t>密植</t>
    </r>
  </si>
  <si>
    <t>麦冬</t>
  </si>
  <si>
    <r>
      <rPr>
        <sz val="10"/>
        <rFont val="Arial"/>
        <charset val="134"/>
      </rPr>
      <t>81</t>
    </r>
    <r>
      <rPr>
        <sz val="10"/>
        <rFont val="宋体"/>
        <charset val="134"/>
      </rPr>
      <t>株</t>
    </r>
    <r>
      <rPr>
        <sz val="10"/>
        <rFont val="Arial"/>
        <charset val="134"/>
      </rPr>
      <t>/m2,</t>
    </r>
    <r>
      <rPr>
        <sz val="10"/>
        <rFont val="宋体"/>
        <charset val="134"/>
      </rPr>
      <t>密植</t>
    </r>
  </si>
  <si>
    <t>草坪</t>
  </si>
  <si>
    <r>
      <rPr>
        <sz val="10"/>
        <rFont val="宋体"/>
        <charset val="134"/>
      </rPr>
      <t>高羊茅、早熟禾</t>
    </r>
    <r>
      <rPr>
        <sz val="10"/>
        <rFont val="Arial"/>
        <charset val="134"/>
      </rPr>
      <t>7:3</t>
    </r>
    <r>
      <rPr>
        <sz val="10"/>
        <rFont val="宋体"/>
        <charset val="134"/>
      </rPr>
      <t>混播</t>
    </r>
    <r>
      <rPr>
        <sz val="10"/>
        <rFont val="Arial"/>
        <charset val="134"/>
      </rPr>
      <t>,</t>
    </r>
    <r>
      <rPr>
        <sz val="10"/>
        <rFont val="宋体"/>
        <charset val="134"/>
      </rPr>
      <t>草坪卷加土厚度</t>
    </r>
    <r>
      <rPr>
        <sz val="10"/>
        <rFont val="Arial"/>
        <charset val="134"/>
      </rPr>
      <t>≥2cm,</t>
    </r>
    <r>
      <rPr>
        <sz val="10"/>
        <rFont val="宋体"/>
        <charset val="134"/>
      </rPr>
      <t>含植草砖面积</t>
    </r>
    <r>
      <rPr>
        <sz val="10"/>
        <rFont val="Arial"/>
        <charset val="134"/>
      </rPr>
      <t>00m2</t>
    </r>
  </si>
  <si>
    <t>景石(绿化中摆放)</t>
  </si>
  <si>
    <t>吨</t>
  </si>
  <si>
    <r>
      <rPr>
        <sz val="10"/>
        <rFont val="宋体"/>
        <charset val="134"/>
      </rPr>
      <t>英德石</t>
    </r>
    <r>
      <rPr>
        <sz val="10"/>
        <rFont val="Arial"/>
        <charset val="134"/>
      </rPr>
      <t>,</t>
    </r>
    <r>
      <rPr>
        <sz val="10"/>
        <rFont val="宋体"/>
        <charset val="134"/>
      </rPr>
      <t>直径为</t>
    </r>
    <r>
      <rPr>
        <sz val="10"/>
        <rFont val="Arial"/>
        <charset val="134"/>
      </rPr>
      <t>120-200</t>
    </r>
    <r>
      <rPr>
        <sz val="10"/>
        <rFont val="宋体"/>
        <charset val="134"/>
      </rPr>
      <t>。其</t>
    </r>
    <r>
      <rPr>
        <sz val="10"/>
        <rFont val="Arial"/>
        <charset val="134"/>
      </rPr>
      <t>1/3</t>
    </r>
    <r>
      <rPr>
        <sz val="10"/>
        <rFont val="宋体"/>
        <charset val="134"/>
      </rPr>
      <t>埋于土中。</t>
    </r>
  </si>
  <si>
    <t>景石(水系周边)</t>
  </si>
  <si>
    <t>英德石,直径为120-200。</t>
  </si>
  <si>
    <t>养护两年</t>
  </si>
  <si>
    <t>给排水清单价格表</t>
  </si>
  <si>
    <t>给水</t>
  </si>
  <si>
    <t>De32PPR给水管</t>
  </si>
  <si>
    <t>De50</t>
  </si>
  <si>
    <t>De63</t>
  </si>
  <si>
    <t>De75</t>
  </si>
  <si>
    <t>De90</t>
  </si>
  <si>
    <t>过路钢管dn110</t>
  </si>
  <si>
    <t>Φ80钢套管</t>
  </si>
  <si>
    <t>Φ110钢套管</t>
  </si>
  <si>
    <t>塑料快速取水阀 De32</t>
  </si>
  <si>
    <t>塑料阀门箱 内置DN80球阀</t>
  </si>
  <si>
    <t>塑料阀门箱 内置DN65球阀</t>
  </si>
  <si>
    <t>自动补水浮球阀</t>
  </si>
  <si>
    <t>给水阀门井</t>
  </si>
  <si>
    <t>水表组DE90</t>
  </si>
  <si>
    <t>挖填土</t>
  </si>
  <si>
    <t>自然水系给排水</t>
  </si>
  <si>
    <t>De50均匀布水管 管道紧贴假山，两端管堵封死</t>
  </si>
  <si>
    <t>De110给水管</t>
  </si>
  <si>
    <t>De110溢水管，管口与水平面平齐，并设不锈钢网罩（网孔5*5）</t>
  </si>
  <si>
    <t>De110连通管</t>
  </si>
  <si>
    <t>De160给水管</t>
  </si>
  <si>
    <t>De160放空管</t>
  </si>
  <si>
    <t>阀门井 内置DN150闸阀</t>
  </si>
  <si>
    <t>DN100闸阀</t>
  </si>
  <si>
    <t>DN100止回阀</t>
  </si>
  <si>
    <t>DN100可曲挠橡胶软管</t>
  </si>
  <si>
    <t>潜水泵2：QSP-100-9-4</t>
  </si>
  <si>
    <t>入口水景给排水</t>
  </si>
  <si>
    <t>De63 水景给水管</t>
  </si>
  <si>
    <t>De50给水管</t>
  </si>
  <si>
    <t>De75放空管</t>
  </si>
  <si>
    <t>De50溢水管，管口与水平面平齐，并设不锈钢网罩（网孔5*5）</t>
  </si>
  <si>
    <t>阀门井 内置DN65闸阀</t>
  </si>
  <si>
    <t>DN50自动补水浮球阀</t>
  </si>
  <si>
    <t>DN50流量调节阀</t>
  </si>
  <si>
    <t>DN50闸阀</t>
  </si>
  <si>
    <t>DN50止回阀</t>
  </si>
  <si>
    <t>DN50可曲挠橡胶软管</t>
  </si>
  <si>
    <t>潜水泵1：QSP-25-17-2.2</t>
  </si>
  <si>
    <t>雨水</t>
  </si>
  <si>
    <t>DN400UPVC双壁波纹管</t>
  </si>
  <si>
    <t>DN300</t>
  </si>
  <si>
    <t>DN200</t>
  </si>
  <si>
    <t>De225</t>
  </si>
  <si>
    <t>绿地雨水口300*300</t>
  </si>
  <si>
    <t>不锈钢地漏DN200</t>
  </si>
  <si>
    <t>道路雨水口300*600</t>
  </si>
  <si>
    <t>雨水井</t>
  </si>
  <si>
    <t>绿地不锈钢装饰井盖</t>
  </si>
  <si>
    <t>铺装装饰井盖</t>
  </si>
  <si>
    <t>电气工程清单价格表</t>
  </si>
  <si>
    <t>2*YJV-3*2.5</t>
  </si>
  <si>
    <t>YJV-3*2.5</t>
  </si>
  <si>
    <t>YJV-3*4</t>
  </si>
  <si>
    <t>YJV-3*6</t>
  </si>
  <si>
    <t>YJV-4X4-PC32-FC</t>
  </si>
  <si>
    <t>YJV-4X2.5-PC25-FC</t>
  </si>
  <si>
    <t>PC25套管</t>
  </si>
  <si>
    <t>PC32套管</t>
  </si>
  <si>
    <t>PC40套管</t>
  </si>
  <si>
    <t>过路钢管SC50</t>
  </si>
  <si>
    <t>防水套管</t>
  </si>
  <si>
    <t>庭院灯 50W IP65 落地安装 LED 暖黄色</t>
  </si>
  <si>
    <t>草坪灯 23W  IP65 落地安装 LED 暖黄色</t>
  </si>
  <si>
    <t>宫灯 23W  IP65 落地安装 LED 暖黄色</t>
  </si>
  <si>
    <t>土建计费</t>
  </si>
  <si>
    <t>埋地射灯 12W  IP65 嵌入式安装 LED 暖黄色</t>
  </si>
  <si>
    <t>植物射树灯 9W  IP65 落地安装 LED 暖黄色</t>
  </si>
  <si>
    <t>水景射灯 12W  IP68 嵌入池底安装 LED 暖黄色</t>
  </si>
  <si>
    <t>侧发光灯 6W  IP65 嵌入式安装 LED 暖黄色</t>
  </si>
  <si>
    <t>吊灯 23W  IP65 结合景亭吊顶安装 LED 暖黄色</t>
  </si>
  <si>
    <t>景观壁灯 23W  IP65 挂壁安装 LED 暖黄色</t>
  </si>
  <si>
    <t>LED灯带 10W/米~12V IP65 结合土建安装 LED 暖黄色</t>
  </si>
  <si>
    <t>筒灯 15W IP65 嵌入门廊吊顶安装 LED 暖黄色</t>
  </si>
  <si>
    <t>字体背发光 300W IP65 结合土建安装 LED 暖黄色</t>
  </si>
  <si>
    <t>普通吸顶灯 36W  IP65 结合吊顶安装</t>
  </si>
  <si>
    <t>低压灯变压器 500VA 埋地安装</t>
  </si>
  <si>
    <t>接线井 砖砌体400*400*600</t>
  </si>
  <si>
    <t>水景潜水泵 380V</t>
  </si>
  <si>
    <t>给排水计费</t>
  </si>
  <si>
    <t>水泵接线盒 水泵电机 配套提供 埋地安装</t>
  </si>
  <si>
    <t>景观配电箱 非标IP65 (箱体带锁) 落地基础支架安装</t>
  </si>
  <si>
    <t>接地装置（40*4热镀锌扁钢、接地体（50*50*5 L=2.5m 镀锌角钢）</t>
  </si>
  <si>
    <t>系统调试</t>
  </si>
  <si>
    <t>南入口门卫电气</t>
  </si>
  <si>
    <t>暗装配电箱 底边距地面1.8米暗装</t>
  </si>
  <si>
    <t>单、双、三极单控开关 220V,10A 底边距地面1.3米暗装</t>
  </si>
  <si>
    <t>单相三孔安全插座250V,16A 底边距地面0.3米暗装</t>
  </si>
  <si>
    <t>单相两孔加三孔安全型插座 250V,10A 底边距地面0.3米暗装</t>
  </si>
  <si>
    <t>空调插座 250V,10A 底边距地面1.8米暗装</t>
  </si>
  <si>
    <t>双孔信息插座 底边距地面0.3米暗装</t>
  </si>
  <si>
    <t>总电位连接箱ME&lt;R&gt;-A 250*100*90 底边距地面0.5米暗装</t>
  </si>
  <si>
    <t>BV-1KV 3*2.5</t>
  </si>
  <si>
    <t>YJV-1KV 3*2.5</t>
  </si>
  <si>
    <t>SC20套管</t>
  </si>
  <si>
    <t>接地极L50×5热镀锌角钢，埋深1.0米，2.5米</t>
  </si>
  <si>
    <t>根</t>
  </si>
  <si>
    <t>接地线40×40热镀锌扁钢
埋深1.0米</t>
  </si>
  <si>
    <t>西入口电气</t>
  </si>
  <si>
    <t>BV-1KV 3*4</t>
  </si>
  <si>
    <t>结合吊顶安装 吸顶灯 220V 36W LED暖白色</t>
  </si>
  <si>
    <t>室外背景音乐</t>
  </si>
  <si>
    <t>配电箱</t>
  </si>
  <si>
    <t>弱电接线井（400*400*600）</t>
  </si>
  <si>
    <t>室外背景音响</t>
  </si>
  <si>
    <t>配电箱连接接线井电线 （黄线）</t>
  </si>
  <si>
    <t>接线井连接音响电箱 （绿线）</t>
  </si>
  <si>
    <t>土方挖填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</si>
</sst>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  <numFmt numFmtId="177" formatCode="0.000_ "/>
    <numFmt numFmtId="178" formatCode="0.00_ "/>
  </numFmts>
  <fonts count="4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宋体"/>
      <charset val="134"/>
    </font>
    <font>
      <sz val="11"/>
      <name val="SimSun"/>
      <charset val="134"/>
    </font>
    <font>
      <b/>
      <sz val="12"/>
      <name val="宋体"/>
      <charset val="134"/>
    </font>
    <font>
      <sz val="10"/>
      <name val="Arial"/>
      <charset val="134"/>
    </font>
    <font>
      <sz val="10"/>
      <color indexed="10"/>
      <name val="Arial"/>
      <charset val="134"/>
    </font>
    <font>
      <sz val="16"/>
      <name val="Arial"/>
      <charset val="134"/>
    </font>
    <font>
      <sz val="10"/>
      <color rgb="FFFF0000"/>
      <name val="宋体"/>
      <charset val="134"/>
    </font>
    <font>
      <sz val="10"/>
      <color rgb="FFFF0000"/>
      <name val="Arial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</font>
    <font>
      <strike/>
      <sz val="11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2"/>
      <color rgb="FFFF0000"/>
      <name val="宋体"/>
      <charset val="134"/>
    </font>
    <font>
      <sz val="9"/>
      <name val="宋体"/>
      <charset val="134"/>
    </font>
    <font>
      <b/>
      <sz val="11"/>
      <name val="SimSun"/>
      <charset val="134"/>
    </font>
    <font>
      <sz val="10"/>
      <name val="SimSun"/>
      <charset val="134"/>
    </font>
    <font>
      <sz val="10"/>
      <color theme="1"/>
      <name val="SimSun"/>
      <charset val="134"/>
    </font>
    <font>
      <b/>
      <sz val="14"/>
      <color indexed="8"/>
      <name val="宋体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45">
    <fill>
      <patternFill patternType="none"/>
    </fill>
    <fill>
      <patternFill patternType="gray125"/>
    </fill>
    <fill>
      <patternFill patternType="solid">
        <fgColor theme="6" tint="0.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3" tint="0.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2" tint="-0.2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9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9" fillId="24" borderId="2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0" fillId="23" borderId="27" applyNumberFormat="0" applyFont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0" borderId="26" applyNumberFormat="0" applyFill="0" applyAlignment="0" applyProtection="0">
      <alignment vertical="center"/>
    </xf>
    <xf numFmtId="0" fontId="38" fillId="0" borderId="26" applyNumberFormat="0" applyFill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33" fillId="0" borderId="30" applyNumberFormat="0" applyFill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37" fillId="36" borderId="31" applyNumberFormat="0" applyAlignment="0" applyProtection="0">
      <alignment vertical="center"/>
    </xf>
    <xf numFmtId="0" fontId="40" fillId="36" borderId="28" applyNumberFormat="0" applyAlignment="0" applyProtection="0">
      <alignment vertical="center"/>
    </xf>
    <xf numFmtId="0" fontId="32" fillId="32" borderId="29" applyNumberFormat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42" fillId="0" borderId="32" applyNumberFormat="0" applyFill="0" applyAlignment="0" applyProtection="0">
      <alignment vertical="center"/>
    </xf>
    <xf numFmtId="0" fontId="45" fillId="0" borderId="33" applyNumberFormat="0" applyFill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41" fillId="0" borderId="0"/>
    <xf numFmtId="0" fontId="1" fillId="0" borderId="0"/>
  </cellStyleXfs>
  <cellXfs count="19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78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/>
    </xf>
    <xf numFmtId="178" fontId="4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8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78" fontId="4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6" fillId="2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8" fillId="4" borderId="1" xfId="0" applyNumberFormat="1" applyFont="1" applyFill="1" applyBorder="1" applyAlignment="1" applyProtection="1">
      <alignment horizontal="center" vertical="center" wrapText="1"/>
    </xf>
    <xf numFmtId="0" fontId="9" fillId="4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9" fillId="5" borderId="1" xfId="0" applyNumberFormat="1" applyFont="1" applyFill="1" applyBorder="1" applyAlignment="1" applyProtection="1">
      <alignment horizontal="center" vertical="center" wrapText="1"/>
    </xf>
    <xf numFmtId="0" fontId="9" fillId="6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8" fillId="2" borderId="7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178" fontId="11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/>
    <xf numFmtId="0" fontId="10" fillId="0" borderId="1" xfId="0" applyFont="1" applyFill="1" applyBorder="1" applyAlignment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5" fillId="4" borderId="5" xfId="0" applyNumberFormat="1" applyFont="1" applyFill="1" applyBorder="1" applyAlignment="1" applyProtection="1">
      <alignment horizontal="center" vertical="center" wrapText="1"/>
    </xf>
    <xf numFmtId="0" fontId="10" fillId="0" borderId="5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/>
    <xf numFmtId="0" fontId="5" fillId="0" borderId="6" xfId="0" applyFont="1" applyFill="1" applyBorder="1" applyAlignment="1">
      <alignment wrapText="1"/>
    </xf>
    <xf numFmtId="0" fontId="5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178" fontId="1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178" fontId="11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177" fontId="11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178" fontId="12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" fillId="7" borderId="0" xfId="0" applyFont="1" applyFill="1" applyBorder="1" applyAlignment="1">
      <alignment vertical="center"/>
    </xf>
    <xf numFmtId="0" fontId="1" fillId="7" borderId="0" xfId="0" applyFont="1" applyFill="1" applyAlignment="1">
      <alignment vertical="center"/>
    </xf>
    <xf numFmtId="177" fontId="11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177" fontId="11" fillId="0" borderId="1" xfId="0" applyNumberFormat="1" applyFont="1" applyFill="1" applyBorder="1" applyAlignment="1">
      <alignment horizontal="left" vertical="center" wrapText="1"/>
    </xf>
    <xf numFmtId="178" fontId="11" fillId="0" borderId="1" xfId="0" applyNumberFormat="1" applyFont="1" applyFill="1" applyBorder="1" applyAlignment="1">
      <alignment horizontal="center" vertical="center" wrapText="1"/>
    </xf>
    <xf numFmtId="177" fontId="13" fillId="8" borderId="1" xfId="0" applyNumberFormat="1" applyFont="1" applyFill="1" applyBorder="1" applyAlignment="1">
      <alignment horizontal="left" vertical="center" wrapText="1"/>
    </xf>
    <xf numFmtId="177" fontId="13" fillId="3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left" vertical="center" wrapText="1"/>
    </xf>
    <xf numFmtId="177" fontId="11" fillId="0" borderId="7" xfId="0" applyNumberFormat="1" applyFont="1" applyFill="1" applyBorder="1" applyAlignment="1">
      <alignment horizontal="center" vertical="center" wrapText="1"/>
    </xf>
    <xf numFmtId="177" fontId="11" fillId="0" borderId="9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177" fontId="11" fillId="0" borderId="7" xfId="0" applyNumberFormat="1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horizontal="left" vertical="center" wrapText="1"/>
    </xf>
    <xf numFmtId="177" fontId="11" fillId="0" borderId="9" xfId="0" applyNumberFormat="1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177" fontId="11" fillId="0" borderId="3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1" fillId="10" borderId="1" xfId="0" applyFont="1" applyFill="1" applyBorder="1" applyAlignment="1">
      <alignment horizontal="left" vertical="center" wrapText="1"/>
    </xf>
    <xf numFmtId="177" fontId="13" fillId="3" borderId="3" xfId="0" applyNumberFormat="1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left" vertical="center" wrapText="1"/>
    </xf>
    <xf numFmtId="0" fontId="11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left" vertical="center" wrapText="1"/>
    </xf>
    <xf numFmtId="0" fontId="11" fillId="8" borderId="1" xfId="0" applyFont="1" applyFill="1" applyBorder="1" applyAlignment="1">
      <alignment horizontal="left" vertical="center" wrapText="1"/>
    </xf>
    <xf numFmtId="177" fontId="13" fillId="0" borderId="1" xfId="0" applyNumberFormat="1" applyFont="1" applyFill="1" applyBorder="1" applyAlignment="1">
      <alignment horizontal="left" vertical="center" wrapText="1"/>
    </xf>
    <xf numFmtId="177" fontId="11" fillId="0" borderId="1" xfId="0" applyNumberFormat="1" applyFont="1" applyFill="1" applyBorder="1" applyAlignment="1">
      <alignment horizontal="left" vertical="center"/>
    </xf>
    <xf numFmtId="0" fontId="11" fillId="7" borderId="1" xfId="0" applyFont="1" applyFill="1" applyBorder="1" applyAlignment="1">
      <alignment horizontal="left" vertical="center" wrapText="1"/>
    </xf>
    <xf numFmtId="177" fontId="13" fillId="0" borderId="0" xfId="0" applyNumberFormat="1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horizontal="left" vertical="center" wrapText="1"/>
    </xf>
    <xf numFmtId="177" fontId="13" fillId="11" borderId="1" xfId="0" applyNumberFormat="1" applyFont="1" applyFill="1" applyBorder="1" applyAlignment="1">
      <alignment horizontal="left" vertical="center" wrapText="1"/>
    </xf>
    <xf numFmtId="177" fontId="11" fillId="7" borderId="1" xfId="0" applyNumberFormat="1" applyFont="1" applyFill="1" applyBorder="1" applyAlignment="1">
      <alignment horizontal="left" vertical="center" wrapText="1"/>
    </xf>
    <xf numFmtId="0" fontId="11" fillId="7" borderId="1" xfId="0" applyFont="1" applyFill="1" applyBorder="1" applyAlignment="1">
      <alignment horizontal="center" vertical="center"/>
    </xf>
    <xf numFmtId="177" fontId="13" fillId="3" borderId="1" xfId="0" applyNumberFormat="1" applyFont="1" applyFill="1" applyBorder="1" applyAlignment="1">
      <alignment horizontal="center" vertical="center" wrapText="1"/>
    </xf>
    <xf numFmtId="177" fontId="11" fillId="11" borderId="1" xfId="0" applyNumberFormat="1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left" vertical="center" wrapText="1"/>
    </xf>
    <xf numFmtId="0" fontId="12" fillId="7" borderId="1" xfId="0" applyFont="1" applyFill="1" applyBorder="1" applyAlignment="1">
      <alignment horizontal="left" vertical="center" wrapText="1"/>
    </xf>
    <xf numFmtId="177" fontId="13" fillId="8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177" fontId="11" fillId="8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177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177" fontId="15" fillId="0" borderId="1" xfId="0" applyNumberFormat="1" applyFont="1" applyFill="1" applyBorder="1" applyAlignment="1">
      <alignment horizontal="center" vertical="center"/>
    </xf>
    <xf numFmtId="178" fontId="15" fillId="0" borderId="1" xfId="0" applyNumberFormat="1" applyFont="1" applyFill="1" applyBorder="1" applyAlignment="1">
      <alignment horizontal="center" vertical="center"/>
    </xf>
    <xf numFmtId="177" fontId="11" fillId="3" borderId="1" xfId="0" applyNumberFormat="1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horizontal="left" vertical="center" wrapText="1"/>
    </xf>
    <xf numFmtId="177" fontId="11" fillId="12" borderId="1" xfId="0" applyNumberFormat="1" applyFont="1" applyFill="1" applyBorder="1" applyAlignment="1">
      <alignment horizontal="center" vertical="center" wrapText="1"/>
    </xf>
    <xf numFmtId="178" fontId="11" fillId="0" borderId="0" xfId="0" applyNumberFormat="1" applyFont="1" applyFill="1" applyBorder="1" applyAlignment="1">
      <alignment vertical="center"/>
    </xf>
    <xf numFmtId="178" fontId="13" fillId="0" borderId="1" xfId="0" applyNumberFormat="1" applyFont="1" applyFill="1" applyBorder="1" applyAlignment="1">
      <alignment horizontal="center" vertical="center"/>
    </xf>
    <xf numFmtId="178" fontId="16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8" fontId="17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178" fontId="4" fillId="0" borderId="0" xfId="0" applyNumberFormat="1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18" fillId="13" borderId="1" xfId="0" applyFont="1" applyFill="1" applyBorder="1" applyAlignment="1">
      <alignment horizontal="center" vertical="center" wrapText="1"/>
    </xf>
    <xf numFmtId="178" fontId="18" fillId="0" borderId="1" xfId="0" applyNumberFormat="1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vertical="center" wrapText="1"/>
    </xf>
    <xf numFmtId="178" fontId="19" fillId="0" borderId="1" xfId="0" applyNumberFormat="1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178" fontId="1" fillId="15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178" fontId="17" fillId="15" borderId="1" xfId="0" applyNumberFormat="1" applyFont="1" applyFill="1" applyBorder="1" applyAlignment="1">
      <alignment horizontal="center" vertical="center"/>
    </xf>
    <xf numFmtId="178" fontId="1" fillId="15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 wrapText="1"/>
    </xf>
    <xf numFmtId="0" fontId="11" fillId="15" borderId="1" xfId="0" applyFont="1" applyFill="1" applyBorder="1" applyAlignment="1">
      <alignment vertical="center" wrapText="1"/>
    </xf>
    <xf numFmtId="0" fontId="21" fillId="9" borderId="1" xfId="0" applyFont="1" applyFill="1" applyBorder="1" applyAlignment="1">
      <alignment vertical="center" wrapText="1"/>
    </xf>
    <xf numFmtId="0" fontId="21" fillId="14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11" fillId="0" borderId="0" xfId="50" applyFont="1" applyFill="1" applyBorder="1" applyAlignment="1" applyProtection="1"/>
    <xf numFmtId="0" fontId="10" fillId="0" borderId="0" xfId="50" applyFont="1" applyFill="1" applyBorder="1" applyAlignment="1" applyProtection="1"/>
    <xf numFmtId="178" fontId="1" fillId="0" borderId="0" xfId="50" applyNumberFormat="1" applyFont="1" applyFill="1" applyBorder="1" applyAlignment="1" applyProtection="1"/>
    <xf numFmtId="0" fontId="10" fillId="0" borderId="0" xfId="50" applyFont="1" applyFill="1" applyAlignment="1" applyProtection="1"/>
    <xf numFmtId="0" fontId="10" fillId="0" borderId="0" xfId="50" applyFont="1" applyFill="1" applyBorder="1" applyAlignment="1" applyProtection="1">
      <protection locked="0"/>
    </xf>
    <xf numFmtId="0" fontId="23" fillId="0" borderId="0" xfId="0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23" fillId="0" borderId="10" xfId="0" applyFont="1" applyFill="1" applyBorder="1" applyAlignment="1" applyProtection="1">
      <alignment horizontal="center" vertical="center"/>
      <protection locked="0"/>
    </xf>
    <xf numFmtId="0" fontId="24" fillId="0" borderId="11" xfId="0" applyFont="1" applyFill="1" applyBorder="1" applyAlignment="1" applyProtection="1">
      <alignment horizontal="center" vertical="center"/>
    </xf>
    <xf numFmtId="0" fontId="24" fillId="0" borderId="12" xfId="0" applyFont="1" applyFill="1" applyBorder="1" applyAlignment="1" applyProtection="1">
      <alignment horizontal="center" vertical="center"/>
    </xf>
    <xf numFmtId="0" fontId="24" fillId="0" borderId="13" xfId="0" applyFont="1" applyFill="1" applyBorder="1" applyAlignment="1" applyProtection="1">
      <alignment horizontal="center" vertical="center"/>
      <protection locked="0"/>
    </xf>
    <xf numFmtId="0" fontId="24" fillId="0" borderId="14" xfId="0" applyFont="1" applyFill="1" applyBorder="1" applyAlignment="1" applyProtection="1">
      <alignment horizontal="center" vertical="center"/>
      <protection locked="0"/>
    </xf>
    <xf numFmtId="0" fontId="24" fillId="0" borderId="15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6" fontId="24" fillId="0" borderId="1" xfId="0" applyNumberFormat="1" applyFont="1" applyFill="1" applyBorder="1" applyAlignment="1" applyProtection="1">
      <alignment horizontal="center" vertical="center"/>
    </xf>
    <xf numFmtId="0" fontId="24" fillId="0" borderId="5" xfId="0" applyNumberFormat="1" applyFont="1" applyFill="1" applyBorder="1" applyAlignment="1" applyProtection="1">
      <alignment horizontal="center" vertical="center"/>
    </xf>
    <xf numFmtId="178" fontId="24" fillId="0" borderId="5" xfId="0" applyNumberFormat="1" applyFont="1" applyFill="1" applyBorder="1" applyAlignment="1" applyProtection="1">
      <alignment horizontal="center" vertical="center"/>
    </xf>
    <xf numFmtId="0" fontId="24" fillId="0" borderId="1" xfId="0" applyFont="1" applyFill="1" applyBorder="1" applyAlignment="1" applyProtection="1">
      <alignment vertical="center"/>
    </xf>
    <xf numFmtId="10" fontId="24" fillId="0" borderId="5" xfId="0" applyNumberFormat="1" applyFont="1" applyFill="1" applyBorder="1" applyAlignment="1" applyProtection="1">
      <alignment horizontal="center" vertical="center"/>
    </xf>
    <xf numFmtId="0" fontId="24" fillId="0" borderId="1" xfId="0" applyFont="1" applyFill="1" applyBorder="1" applyAlignment="1" applyProtection="1">
      <alignment horizontal="center" vertical="center"/>
    </xf>
    <xf numFmtId="0" fontId="25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vertical="center"/>
    </xf>
    <xf numFmtId="10" fontId="24" fillId="0" borderId="5" xfId="0" applyNumberFormat="1" applyFont="1" applyFill="1" applyBorder="1" applyAlignment="1" applyProtection="1">
      <alignment horizontal="right" vertical="center"/>
    </xf>
    <xf numFmtId="178" fontId="24" fillId="0" borderId="5" xfId="0" applyNumberFormat="1" applyFont="1" applyFill="1" applyBorder="1" applyAlignment="1" applyProtection="1">
      <alignment horizontal="right" vertical="center"/>
    </xf>
    <xf numFmtId="0" fontId="24" fillId="0" borderId="16" xfId="0" applyFont="1" applyFill="1" applyBorder="1" applyAlignment="1" applyProtection="1">
      <alignment vertical="center"/>
    </xf>
    <xf numFmtId="0" fontId="24" fillId="0" borderId="17" xfId="0" applyFont="1" applyFill="1" applyBorder="1" applyAlignment="1" applyProtection="1">
      <alignment vertical="center" wrapText="1"/>
    </xf>
    <xf numFmtId="0" fontId="24" fillId="0" borderId="18" xfId="0" applyFont="1" applyFill="1" applyBorder="1" applyAlignment="1" applyProtection="1">
      <alignment vertical="center" wrapText="1"/>
    </xf>
    <xf numFmtId="0" fontId="24" fillId="0" borderId="18" xfId="0" applyFont="1" applyFill="1" applyBorder="1" applyAlignment="1" applyProtection="1">
      <alignment vertical="center" wrapText="1"/>
      <protection locked="0"/>
    </xf>
    <xf numFmtId="0" fontId="24" fillId="0" borderId="19" xfId="0" applyFont="1" applyFill="1" applyBorder="1" applyAlignment="1" applyProtection="1">
      <alignment vertical="center" wrapText="1"/>
      <protection locked="0"/>
    </xf>
    <xf numFmtId="0" fontId="24" fillId="0" borderId="15" xfId="0" applyFont="1" applyFill="1" applyBorder="1" applyAlignment="1" applyProtection="1">
      <alignment vertical="center" wrapText="1"/>
    </xf>
    <xf numFmtId="0" fontId="24" fillId="0" borderId="1" xfId="0" applyFont="1" applyFill="1" applyBorder="1" applyAlignment="1" applyProtection="1">
      <alignment vertical="center" wrapText="1"/>
    </xf>
    <xf numFmtId="0" fontId="24" fillId="0" borderId="5" xfId="0" applyFont="1" applyFill="1" applyBorder="1" applyAlignment="1" applyProtection="1">
      <alignment vertical="center" wrapText="1"/>
      <protection locked="0"/>
    </xf>
    <xf numFmtId="0" fontId="24" fillId="0" borderId="16" xfId="0" applyFont="1" applyFill="1" applyBorder="1" applyAlignment="1" applyProtection="1">
      <alignment vertical="center" wrapText="1"/>
      <protection locked="0"/>
    </xf>
    <xf numFmtId="0" fontId="24" fillId="0" borderId="1" xfId="0" applyFont="1" applyFill="1" applyBorder="1" applyAlignment="1" applyProtection="1">
      <alignment horizontal="left" vertical="center" wrapText="1"/>
    </xf>
    <xf numFmtId="0" fontId="24" fillId="0" borderId="20" xfId="0" applyFont="1" applyFill="1" applyBorder="1" applyAlignment="1" applyProtection="1">
      <alignment horizontal="left" vertical="center" wrapText="1"/>
    </xf>
    <xf numFmtId="0" fontId="24" fillId="0" borderId="21" xfId="0" applyFont="1" applyFill="1" applyBorder="1" applyAlignment="1" applyProtection="1">
      <alignment horizontal="left" vertical="center" wrapText="1"/>
    </xf>
    <xf numFmtId="0" fontId="24" fillId="0" borderId="21" xfId="0" applyFont="1" applyFill="1" applyBorder="1" applyAlignment="1" applyProtection="1">
      <alignment horizontal="left" vertical="center" wrapText="1"/>
      <protection locked="0"/>
    </xf>
    <xf numFmtId="0" fontId="24" fillId="0" borderId="22" xfId="0" applyFont="1" applyFill="1" applyBorder="1" applyAlignment="1" applyProtection="1">
      <alignment horizontal="left" vertical="center" wrapText="1"/>
      <protection locked="0"/>
    </xf>
    <xf numFmtId="0" fontId="24" fillId="0" borderId="23" xfId="0" applyFont="1" applyFill="1" applyBorder="1" applyAlignment="1" applyProtection="1">
      <alignment horizontal="left" vertical="center"/>
    </xf>
    <xf numFmtId="0" fontId="24" fillId="0" borderId="24" xfId="0" applyFont="1" applyFill="1" applyBorder="1" applyAlignment="1" applyProtection="1">
      <alignment horizontal="left" vertical="center"/>
    </xf>
    <xf numFmtId="0" fontId="24" fillId="0" borderId="24" xfId="0" applyFont="1" applyFill="1" applyBorder="1" applyAlignment="1" applyProtection="1">
      <alignment horizontal="left" vertical="center"/>
      <protection locked="0"/>
    </xf>
    <xf numFmtId="0" fontId="24" fillId="0" borderId="25" xfId="0" applyFont="1" applyFill="1" applyBorder="1" applyAlignment="1" applyProtection="1">
      <alignment horizontal="left" vertical="center"/>
      <protection locked="0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left" vertical="center"/>
      <protection locked="0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3" xfId="50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9" Type="http://schemas.openxmlformats.org/officeDocument/2006/relationships/image" Target="../media/image13.png"/><Relationship Id="rId8" Type="http://schemas.openxmlformats.org/officeDocument/2006/relationships/image" Target="../media/image12.png"/><Relationship Id="rId7" Type="http://schemas.openxmlformats.org/officeDocument/2006/relationships/image" Target="../media/image11.png"/><Relationship Id="rId6" Type="http://schemas.openxmlformats.org/officeDocument/2006/relationships/image" Target="../media/image10.png"/><Relationship Id="rId5" Type="http://schemas.openxmlformats.org/officeDocument/2006/relationships/image" Target="../media/image9.png"/><Relationship Id="rId47" Type="http://schemas.openxmlformats.org/officeDocument/2006/relationships/image" Target="../media/image51.png"/><Relationship Id="rId46" Type="http://schemas.openxmlformats.org/officeDocument/2006/relationships/image" Target="../media/image50.png"/><Relationship Id="rId45" Type="http://schemas.openxmlformats.org/officeDocument/2006/relationships/image" Target="../media/image49.png"/><Relationship Id="rId44" Type="http://schemas.openxmlformats.org/officeDocument/2006/relationships/image" Target="../media/image48.png"/><Relationship Id="rId43" Type="http://schemas.openxmlformats.org/officeDocument/2006/relationships/image" Target="../media/image47.png"/><Relationship Id="rId42" Type="http://schemas.openxmlformats.org/officeDocument/2006/relationships/image" Target="../media/image46.png"/><Relationship Id="rId41" Type="http://schemas.openxmlformats.org/officeDocument/2006/relationships/image" Target="../media/image45.png"/><Relationship Id="rId40" Type="http://schemas.openxmlformats.org/officeDocument/2006/relationships/image" Target="../media/image44.png"/><Relationship Id="rId4" Type="http://schemas.openxmlformats.org/officeDocument/2006/relationships/image" Target="../media/image8.png"/><Relationship Id="rId39" Type="http://schemas.openxmlformats.org/officeDocument/2006/relationships/image" Target="../media/image43.png"/><Relationship Id="rId38" Type="http://schemas.openxmlformats.org/officeDocument/2006/relationships/image" Target="../media/image42.png"/><Relationship Id="rId37" Type="http://schemas.openxmlformats.org/officeDocument/2006/relationships/image" Target="../media/image41.png"/><Relationship Id="rId36" Type="http://schemas.openxmlformats.org/officeDocument/2006/relationships/image" Target="../media/image40.png"/><Relationship Id="rId35" Type="http://schemas.openxmlformats.org/officeDocument/2006/relationships/image" Target="../media/image39.png"/><Relationship Id="rId34" Type="http://schemas.openxmlformats.org/officeDocument/2006/relationships/image" Target="../media/image38.png"/><Relationship Id="rId33" Type="http://schemas.openxmlformats.org/officeDocument/2006/relationships/image" Target="../media/image37.png"/><Relationship Id="rId32" Type="http://schemas.openxmlformats.org/officeDocument/2006/relationships/image" Target="../media/image36.png"/><Relationship Id="rId31" Type="http://schemas.openxmlformats.org/officeDocument/2006/relationships/image" Target="../media/image35.png"/><Relationship Id="rId30" Type="http://schemas.openxmlformats.org/officeDocument/2006/relationships/image" Target="../media/image34.png"/><Relationship Id="rId3" Type="http://schemas.openxmlformats.org/officeDocument/2006/relationships/image" Target="../media/image7.png"/><Relationship Id="rId29" Type="http://schemas.openxmlformats.org/officeDocument/2006/relationships/image" Target="../media/image33.png"/><Relationship Id="rId28" Type="http://schemas.openxmlformats.org/officeDocument/2006/relationships/image" Target="../media/image32.png"/><Relationship Id="rId27" Type="http://schemas.openxmlformats.org/officeDocument/2006/relationships/image" Target="../media/image31.png"/><Relationship Id="rId26" Type="http://schemas.openxmlformats.org/officeDocument/2006/relationships/image" Target="../media/image30.png"/><Relationship Id="rId25" Type="http://schemas.openxmlformats.org/officeDocument/2006/relationships/image" Target="../media/image29.png"/><Relationship Id="rId24" Type="http://schemas.openxmlformats.org/officeDocument/2006/relationships/image" Target="../media/image28.png"/><Relationship Id="rId23" Type="http://schemas.openxmlformats.org/officeDocument/2006/relationships/image" Target="../media/image27.png"/><Relationship Id="rId22" Type="http://schemas.openxmlformats.org/officeDocument/2006/relationships/image" Target="../media/image26.png"/><Relationship Id="rId21" Type="http://schemas.openxmlformats.org/officeDocument/2006/relationships/image" Target="../media/image25.png"/><Relationship Id="rId20" Type="http://schemas.openxmlformats.org/officeDocument/2006/relationships/image" Target="../media/image24.png"/><Relationship Id="rId2" Type="http://schemas.openxmlformats.org/officeDocument/2006/relationships/image" Target="../media/image6.png"/><Relationship Id="rId19" Type="http://schemas.openxmlformats.org/officeDocument/2006/relationships/image" Target="../media/image23.png"/><Relationship Id="rId18" Type="http://schemas.openxmlformats.org/officeDocument/2006/relationships/image" Target="../media/image22.png"/><Relationship Id="rId17" Type="http://schemas.openxmlformats.org/officeDocument/2006/relationships/image" Target="../media/image21.png"/><Relationship Id="rId16" Type="http://schemas.openxmlformats.org/officeDocument/2006/relationships/image" Target="../media/image20.png"/><Relationship Id="rId15" Type="http://schemas.openxmlformats.org/officeDocument/2006/relationships/image" Target="../media/image19.png"/><Relationship Id="rId14" Type="http://schemas.openxmlformats.org/officeDocument/2006/relationships/image" Target="../media/image18.png"/><Relationship Id="rId13" Type="http://schemas.openxmlformats.org/officeDocument/2006/relationships/image" Target="../media/image17.png"/><Relationship Id="rId12" Type="http://schemas.openxmlformats.org/officeDocument/2006/relationships/image" Target="../media/image16.png"/><Relationship Id="rId11" Type="http://schemas.openxmlformats.org/officeDocument/2006/relationships/image" Target="../media/image15.png"/><Relationship Id="rId10" Type="http://schemas.openxmlformats.org/officeDocument/2006/relationships/image" Target="../media/image14.png"/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0</xdr:colOff>
      <xdr:row>6</xdr:row>
      <xdr:rowOff>304800</xdr:rowOff>
    </xdr:from>
    <xdr:to>
      <xdr:col>9</xdr:col>
      <xdr:colOff>581660</xdr:colOff>
      <xdr:row>11</xdr:row>
      <xdr:rowOff>133985</xdr:rowOff>
    </xdr:to>
    <xdr:pic>
      <xdr:nvPicPr>
        <xdr:cNvPr id="6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796145" y="2362200"/>
          <a:ext cx="1541780" cy="13531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12</xdr:row>
      <xdr:rowOff>304800</xdr:rowOff>
    </xdr:from>
    <xdr:to>
      <xdr:col>11</xdr:col>
      <xdr:colOff>460375</xdr:colOff>
      <xdr:row>17</xdr:row>
      <xdr:rowOff>300355</xdr:rowOff>
    </xdr:to>
    <xdr:pic>
      <xdr:nvPicPr>
        <xdr:cNvPr id="2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796145" y="4191000"/>
          <a:ext cx="2792095" cy="15195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16</xdr:row>
      <xdr:rowOff>304800</xdr:rowOff>
    </xdr:from>
    <xdr:to>
      <xdr:col>12</xdr:col>
      <xdr:colOff>613410</xdr:colOff>
      <xdr:row>23</xdr:row>
      <xdr:rowOff>48260</xdr:rowOff>
    </xdr:to>
    <xdr:pic>
      <xdr:nvPicPr>
        <xdr:cNvPr id="3" name="图片 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9796145" y="5410200"/>
          <a:ext cx="4220210" cy="18770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0</xdr:colOff>
      <xdr:row>12</xdr:row>
      <xdr:rowOff>73025</xdr:rowOff>
    </xdr:from>
    <xdr:to>
      <xdr:col>14</xdr:col>
      <xdr:colOff>35560</xdr:colOff>
      <xdr:row>17</xdr:row>
      <xdr:rowOff>217805</xdr:rowOff>
    </xdr:to>
    <xdr:pic>
      <xdr:nvPicPr>
        <xdr:cNvPr id="4" name="图片 3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2127865" y="3959225"/>
          <a:ext cx="2712720" cy="16687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191</xdr:row>
      <xdr:rowOff>0</xdr:rowOff>
    </xdr:from>
    <xdr:to>
      <xdr:col>11</xdr:col>
      <xdr:colOff>146685</xdr:colOff>
      <xdr:row>196</xdr:row>
      <xdr:rowOff>12700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850370" y="87212170"/>
          <a:ext cx="1794510" cy="1778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201</xdr:row>
      <xdr:rowOff>0</xdr:rowOff>
    </xdr:from>
    <xdr:to>
      <xdr:col>11</xdr:col>
      <xdr:colOff>1433195</xdr:colOff>
      <xdr:row>203</xdr:row>
      <xdr:rowOff>235585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850370" y="90793570"/>
          <a:ext cx="3081020" cy="1340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205</xdr:row>
      <xdr:rowOff>0</xdr:rowOff>
    </xdr:from>
    <xdr:to>
      <xdr:col>10</xdr:col>
      <xdr:colOff>565150</xdr:colOff>
      <xdr:row>206</xdr:row>
      <xdr:rowOff>494665</xdr:rowOff>
    </xdr:to>
    <xdr:pic>
      <xdr:nvPicPr>
        <xdr:cNvPr id="4" name="图片 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1850370" y="93358970"/>
          <a:ext cx="1527175" cy="8756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207</xdr:row>
      <xdr:rowOff>0</xdr:rowOff>
    </xdr:from>
    <xdr:to>
      <xdr:col>11</xdr:col>
      <xdr:colOff>320040</xdr:colOff>
      <xdr:row>209</xdr:row>
      <xdr:rowOff>374650</xdr:rowOff>
    </xdr:to>
    <xdr:pic>
      <xdr:nvPicPr>
        <xdr:cNvPr id="5" name="图片 4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1850370" y="94400370"/>
          <a:ext cx="1967865" cy="14033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210</xdr:row>
      <xdr:rowOff>0</xdr:rowOff>
    </xdr:from>
    <xdr:to>
      <xdr:col>11</xdr:col>
      <xdr:colOff>48895</xdr:colOff>
      <xdr:row>211</xdr:row>
      <xdr:rowOff>116840</xdr:rowOff>
    </xdr:to>
    <xdr:pic>
      <xdr:nvPicPr>
        <xdr:cNvPr id="6" name="图片 5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1850370" y="96127570"/>
          <a:ext cx="1696720" cy="7899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210</xdr:row>
      <xdr:rowOff>0</xdr:rowOff>
    </xdr:from>
    <xdr:to>
      <xdr:col>11</xdr:col>
      <xdr:colOff>1033780</xdr:colOff>
      <xdr:row>211</xdr:row>
      <xdr:rowOff>227330</xdr:rowOff>
    </xdr:to>
    <xdr:pic>
      <xdr:nvPicPr>
        <xdr:cNvPr id="7" name="图片 7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11850370" y="96127570"/>
          <a:ext cx="2681605" cy="900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215</xdr:row>
      <xdr:rowOff>0</xdr:rowOff>
    </xdr:from>
    <xdr:to>
      <xdr:col>10</xdr:col>
      <xdr:colOff>186055</xdr:colOff>
      <xdr:row>216</xdr:row>
      <xdr:rowOff>317500</xdr:rowOff>
    </xdr:to>
    <xdr:pic>
      <xdr:nvPicPr>
        <xdr:cNvPr id="8" name="图片 8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11850370" y="99226370"/>
          <a:ext cx="1148080" cy="1181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0</xdr:colOff>
      <xdr:row>224</xdr:row>
      <xdr:rowOff>337820</xdr:rowOff>
    </xdr:from>
    <xdr:to>
      <xdr:col>12</xdr:col>
      <xdr:colOff>60325</xdr:colOff>
      <xdr:row>226</xdr:row>
      <xdr:rowOff>619760</xdr:rowOff>
    </xdr:to>
    <xdr:pic>
      <xdr:nvPicPr>
        <xdr:cNvPr id="9" name="图片 9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13498195" y="105685590"/>
          <a:ext cx="2265045" cy="15392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231</xdr:row>
      <xdr:rowOff>52705</xdr:rowOff>
    </xdr:from>
    <xdr:to>
      <xdr:col>11</xdr:col>
      <xdr:colOff>1433830</xdr:colOff>
      <xdr:row>232</xdr:row>
      <xdr:rowOff>342900</xdr:rowOff>
    </xdr:to>
    <xdr:pic>
      <xdr:nvPicPr>
        <xdr:cNvPr id="10" name="图片 10"/>
        <xdr:cNvPicPr>
          <a:picLocks noChangeAspect="1"/>
        </xdr:cNvPicPr>
      </xdr:nvPicPr>
      <xdr:blipFill>
        <a:blip r:embed="rId9"/>
        <a:stretch>
          <a:fillRect/>
        </a:stretch>
      </xdr:blipFill>
      <xdr:spPr>
        <a:xfrm>
          <a:off x="11850370" y="109743875"/>
          <a:ext cx="3081655" cy="937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233</xdr:row>
      <xdr:rowOff>0</xdr:rowOff>
    </xdr:from>
    <xdr:to>
      <xdr:col>10</xdr:col>
      <xdr:colOff>674370</xdr:colOff>
      <xdr:row>233</xdr:row>
      <xdr:rowOff>1189990</xdr:rowOff>
    </xdr:to>
    <xdr:pic>
      <xdr:nvPicPr>
        <xdr:cNvPr id="11" name="图片 11"/>
        <xdr:cNvPicPr>
          <a:picLocks noChangeAspect="1"/>
        </xdr:cNvPicPr>
      </xdr:nvPicPr>
      <xdr:blipFill>
        <a:blip r:embed="rId10"/>
        <a:stretch>
          <a:fillRect/>
        </a:stretch>
      </xdr:blipFill>
      <xdr:spPr>
        <a:xfrm>
          <a:off x="11850370" y="110771305"/>
          <a:ext cx="1636395" cy="1189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0</xdr:colOff>
      <xdr:row>233</xdr:row>
      <xdr:rowOff>0</xdr:rowOff>
    </xdr:from>
    <xdr:to>
      <xdr:col>11</xdr:col>
      <xdr:colOff>1464945</xdr:colOff>
      <xdr:row>233</xdr:row>
      <xdr:rowOff>1284605</xdr:rowOff>
    </xdr:to>
    <xdr:pic>
      <xdr:nvPicPr>
        <xdr:cNvPr id="12" name="图片 12"/>
        <xdr:cNvPicPr>
          <a:picLocks noChangeAspect="1"/>
        </xdr:cNvPicPr>
      </xdr:nvPicPr>
      <xdr:blipFill>
        <a:blip r:embed="rId11"/>
        <a:stretch>
          <a:fillRect/>
        </a:stretch>
      </xdr:blipFill>
      <xdr:spPr>
        <a:xfrm>
          <a:off x="13498195" y="110771305"/>
          <a:ext cx="1464945" cy="128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12</xdr:col>
      <xdr:colOff>0</xdr:colOff>
      <xdr:row>234</xdr:row>
      <xdr:rowOff>0</xdr:rowOff>
    </xdr:from>
    <xdr:to>
      <xdr:col>14</xdr:col>
      <xdr:colOff>229870</xdr:colOff>
      <xdr:row>234</xdr:row>
      <xdr:rowOff>1369695</xdr:rowOff>
    </xdr:to>
    <xdr:pic>
      <xdr:nvPicPr>
        <xdr:cNvPr id="13" name="图片 13"/>
        <xdr:cNvPicPr>
          <a:picLocks noChangeAspect="1"/>
        </xdr:cNvPicPr>
      </xdr:nvPicPr>
      <xdr:blipFill>
        <a:blip r:embed="rId12"/>
        <a:stretch>
          <a:fillRect/>
        </a:stretch>
      </xdr:blipFill>
      <xdr:spPr>
        <a:xfrm>
          <a:off x="15702915" y="112066705"/>
          <a:ext cx="1845310" cy="13696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234</xdr:row>
      <xdr:rowOff>0</xdr:rowOff>
    </xdr:from>
    <xdr:to>
      <xdr:col>10</xdr:col>
      <xdr:colOff>327660</xdr:colOff>
      <xdr:row>236</xdr:row>
      <xdr:rowOff>248920</xdr:rowOff>
    </xdr:to>
    <xdr:pic>
      <xdr:nvPicPr>
        <xdr:cNvPr id="14" name="图片 14"/>
        <xdr:cNvPicPr>
          <a:picLocks noChangeAspect="1"/>
        </xdr:cNvPicPr>
      </xdr:nvPicPr>
      <xdr:blipFill>
        <a:blip r:embed="rId13"/>
        <a:stretch>
          <a:fillRect/>
        </a:stretch>
      </xdr:blipFill>
      <xdr:spPr>
        <a:xfrm>
          <a:off x="11850370" y="112066705"/>
          <a:ext cx="1289685" cy="24085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222</xdr:row>
      <xdr:rowOff>508635</xdr:rowOff>
    </xdr:from>
    <xdr:to>
      <xdr:col>10</xdr:col>
      <xdr:colOff>448945</xdr:colOff>
      <xdr:row>224</xdr:row>
      <xdr:rowOff>222885</xdr:rowOff>
    </xdr:to>
    <xdr:pic>
      <xdr:nvPicPr>
        <xdr:cNvPr id="15" name="图片 15"/>
        <xdr:cNvPicPr>
          <a:picLocks noChangeAspect="1"/>
        </xdr:cNvPicPr>
      </xdr:nvPicPr>
      <xdr:blipFill>
        <a:blip r:embed="rId14"/>
        <a:stretch>
          <a:fillRect/>
        </a:stretch>
      </xdr:blipFill>
      <xdr:spPr>
        <a:xfrm>
          <a:off x="11850370" y="104561005"/>
          <a:ext cx="1410970" cy="10096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240</xdr:row>
      <xdr:rowOff>0</xdr:rowOff>
    </xdr:from>
    <xdr:to>
      <xdr:col>13</xdr:col>
      <xdr:colOff>344170</xdr:colOff>
      <xdr:row>241</xdr:row>
      <xdr:rowOff>1101090</xdr:rowOff>
    </xdr:to>
    <xdr:pic>
      <xdr:nvPicPr>
        <xdr:cNvPr id="16" name="图片 16"/>
        <xdr:cNvPicPr>
          <a:picLocks noChangeAspect="1"/>
        </xdr:cNvPicPr>
      </xdr:nvPicPr>
      <xdr:blipFill>
        <a:blip r:embed="rId15"/>
        <a:stretch>
          <a:fillRect/>
        </a:stretch>
      </xdr:blipFill>
      <xdr:spPr>
        <a:xfrm>
          <a:off x="11850370" y="117249575"/>
          <a:ext cx="4882515" cy="17741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0</xdr:colOff>
      <xdr:row>240</xdr:row>
      <xdr:rowOff>0</xdr:rowOff>
    </xdr:from>
    <xdr:to>
      <xdr:col>11</xdr:col>
      <xdr:colOff>2132965</xdr:colOff>
      <xdr:row>242</xdr:row>
      <xdr:rowOff>64135</xdr:rowOff>
    </xdr:to>
    <xdr:pic>
      <xdr:nvPicPr>
        <xdr:cNvPr id="17" name="图片 17"/>
        <xdr:cNvPicPr>
          <a:picLocks noChangeAspect="1"/>
        </xdr:cNvPicPr>
      </xdr:nvPicPr>
      <xdr:blipFill>
        <a:blip r:embed="rId16"/>
        <a:stretch>
          <a:fillRect/>
        </a:stretch>
      </xdr:blipFill>
      <xdr:spPr>
        <a:xfrm>
          <a:off x="13498195" y="117249575"/>
          <a:ext cx="2132965" cy="21342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0</xdr:colOff>
      <xdr:row>243</xdr:row>
      <xdr:rowOff>0</xdr:rowOff>
    </xdr:from>
    <xdr:to>
      <xdr:col>11</xdr:col>
      <xdr:colOff>1257935</xdr:colOff>
      <xdr:row>245</xdr:row>
      <xdr:rowOff>713740</xdr:rowOff>
    </xdr:to>
    <xdr:pic>
      <xdr:nvPicPr>
        <xdr:cNvPr id="18" name="图片 18"/>
        <xdr:cNvPicPr>
          <a:picLocks noChangeAspect="1"/>
        </xdr:cNvPicPr>
      </xdr:nvPicPr>
      <xdr:blipFill>
        <a:blip r:embed="rId17"/>
        <a:stretch>
          <a:fillRect/>
        </a:stretch>
      </xdr:blipFill>
      <xdr:spPr>
        <a:xfrm>
          <a:off x="13498195" y="120107075"/>
          <a:ext cx="1257935" cy="18948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244</xdr:row>
      <xdr:rowOff>0</xdr:rowOff>
    </xdr:from>
    <xdr:to>
      <xdr:col>10</xdr:col>
      <xdr:colOff>508000</xdr:colOff>
      <xdr:row>245</xdr:row>
      <xdr:rowOff>631190</xdr:rowOff>
    </xdr:to>
    <xdr:pic>
      <xdr:nvPicPr>
        <xdr:cNvPr id="19" name="图片 19"/>
        <xdr:cNvPicPr>
          <a:picLocks noChangeAspect="1"/>
        </xdr:cNvPicPr>
      </xdr:nvPicPr>
      <xdr:blipFill>
        <a:blip r:embed="rId18"/>
        <a:stretch>
          <a:fillRect/>
        </a:stretch>
      </xdr:blipFill>
      <xdr:spPr>
        <a:xfrm>
          <a:off x="11850370" y="120615075"/>
          <a:ext cx="1470025" cy="1304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0</xdr:colOff>
      <xdr:row>245</xdr:row>
      <xdr:rowOff>0</xdr:rowOff>
    </xdr:from>
    <xdr:to>
      <xdr:col>11</xdr:col>
      <xdr:colOff>1308735</xdr:colOff>
      <xdr:row>246</xdr:row>
      <xdr:rowOff>394335</xdr:rowOff>
    </xdr:to>
    <xdr:pic>
      <xdr:nvPicPr>
        <xdr:cNvPr id="20" name="图片 20"/>
        <xdr:cNvPicPr>
          <a:picLocks noChangeAspect="1"/>
        </xdr:cNvPicPr>
      </xdr:nvPicPr>
      <xdr:blipFill>
        <a:blip r:embed="rId19"/>
        <a:stretch>
          <a:fillRect/>
        </a:stretch>
      </xdr:blipFill>
      <xdr:spPr>
        <a:xfrm>
          <a:off x="13498195" y="121288175"/>
          <a:ext cx="1308735" cy="16770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0</xdr:colOff>
      <xdr:row>244</xdr:row>
      <xdr:rowOff>0</xdr:rowOff>
    </xdr:from>
    <xdr:to>
      <xdr:col>16</xdr:col>
      <xdr:colOff>215900</xdr:colOff>
      <xdr:row>245</xdr:row>
      <xdr:rowOff>549275</xdr:rowOff>
    </xdr:to>
    <xdr:pic>
      <xdr:nvPicPr>
        <xdr:cNvPr id="21" name="图片 21"/>
        <xdr:cNvPicPr>
          <a:picLocks noChangeAspect="1"/>
        </xdr:cNvPicPr>
      </xdr:nvPicPr>
      <xdr:blipFill>
        <a:blip r:embed="rId20"/>
        <a:stretch>
          <a:fillRect/>
        </a:stretch>
      </xdr:blipFill>
      <xdr:spPr>
        <a:xfrm>
          <a:off x="13498195" y="120615075"/>
          <a:ext cx="5769610" cy="1222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246</xdr:row>
      <xdr:rowOff>736600</xdr:rowOff>
    </xdr:from>
    <xdr:to>
      <xdr:col>11</xdr:col>
      <xdr:colOff>325755</xdr:colOff>
      <xdr:row>249</xdr:row>
      <xdr:rowOff>13970</xdr:rowOff>
    </xdr:to>
    <xdr:pic>
      <xdr:nvPicPr>
        <xdr:cNvPr id="22" name="图片 22"/>
        <xdr:cNvPicPr>
          <a:picLocks noChangeAspect="1"/>
        </xdr:cNvPicPr>
      </xdr:nvPicPr>
      <xdr:blipFill>
        <a:blip r:embed="rId21"/>
        <a:stretch>
          <a:fillRect/>
        </a:stretch>
      </xdr:blipFill>
      <xdr:spPr>
        <a:xfrm>
          <a:off x="11850370" y="123307475"/>
          <a:ext cx="1973580" cy="17284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0</xdr:colOff>
      <xdr:row>235</xdr:row>
      <xdr:rowOff>0</xdr:rowOff>
    </xdr:from>
    <xdr:to>
      <xdr:col>11</xdr:col>
      <xdr:colOff>1785620</xdr:colOff>
      <xdr:row>237</xdr:row>
      <xdr:rowOff>109855</xdr:rowOff>
    </xdr:to>
    <xdr:pic>
      <xdr:nvPicPr>
        <xdr:cNvPr id="23" name="图片 23"/>
        <xdr:cNvPicPr>
          <a:picLocks noChangeAspect="1"/>
        </xdr:cNvPicPr>
      </xdr:nvPicPr>
      <xdr:blipFill>
        <a:blip r:embed="rId22"/>
        <a:stretch>
          <a:fillRect/>
        </a:stretch>
      </xdr:blipFill>
      <xdr:spPr>
        <a:xfrm>
          <a:off x="13498195" y="113527840"/>
          <a:ext cx="1785620" cy="131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151</xdr:row>
      <xdr:rowOff>0</xdr:rowOff>
    </xdr:from>
    <xdr:to>
      <xdr:col>11</xdr:col>
      <xdr:colOff>383540</xdr:colOff>
      <xdr:row>152</xdr:row>
      <xdr:rowOff>190500</xdr:rowOff>
    </xdr:to>
    <xdr:pic>
      <xdr:nvPicPr>
        <xdr:cNvPr id="24" name="图片 1"/>
        <xdr:cNvPicPr>
          <a:picLocks noChangeAspect="1"/>
        </xdr:cNvPicPr>
      </xdr:nvPicPr>
      <xdr:blipFill>
        <a:blip r:embed="rId23"/>
        <a:stretch>
          <a:fillRect/>
        </a:stretch>
      </xdr:blipFill>
      <xdr:spPr>
        <a:xfrm>
          <a:off x="11850370" y="66120645"/>
          <a:ext cx="2031365" cy="8509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150</xdr:row>
      <xdr:rowOff>0</xdr:rowOff>
    </xdr:from>
    <xdr:to>
      <xdr:col>11</xdr:col>
      <xdr:colOff>307975</xdr:colOff>
      <xdr:row>151</xdr:row>
      <xdr:rowOff>184785</xdr:rowOff>
    </xdr:to>
    <xdr:pic>
      <xdr:nvPicPr>
        <xdr:cNvPr id="25" name="图片 2"/>
        <xdr:cNvPicPr>
          <a:picLocks noChangeAspect="1"/>
        </xdr:cNvPicPr>
      </xdr:nvPicPr>
      <xdr:blipFill>
        <a:blip r:embed="rId24"/>
        <a:stretch>
          <a:fillRect/>
        </a:stretch>
      </xdr:blipFill>
      <xdr:spPr>
        <a:xfrm>
          <a:off x="11850370" y="65498345"/>
          <a:ext cx="1955800" cy="807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0</xdr:colOff>
      <xdr:row>152</xdr:row>
      <xdr:rowOff>0</xdr:rowOff>
    </xdr:from>
    <xdr:to>
      <xdr:col>13</xdr:col>
      <xdr:colOff>95250</xdr:colOff>
      <xdr:row>154</xdr:row>
      <xdr:rowOff>402590</xdr:rowOff>
    </xdr:to>
    <xdr:pic>
      <xdr:nvPicPr>
        <xdr:cNvPr id="26" name="图片 4"/>
        <xdr:cNvPicPr>
          <a:picLocks noChangeAspect="1"/>
        </xdr:cNvPicPr>
      </xdr:nvPicPr>
      <xdr:blipFill>
        <a:blip r:embed="rId25"/>
        <a:stretch>
          <a:fillRect/>
        </a:stretch>
      </xdr:blipFill>
      <xdr:spPr>
        <a:xfrm>
          <a:off x="13498195" y="66781045"/>
          <a:ext cx="2985770" cy="10388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155</xdr:row>
      <xdr:rowOff>0</xdr:rowOff>
    </xdr:from>
    <xdr:to>
      <xdr:col>11</xdr:col>
      <xdr:colOff>176530</xdr:colOff>
      <xdr:row>156</xdr:row>
      <xdr:rowOff>127000</xdr:rowOff>
    </xdr:to>
    <xdr:pic>
      <xdr:nvPicPr>
        <xdr:cNvPr id="27" name="图片 5"/>
        <xdr:cNvPicPr>
          <a:picLocks noChangeAspect="1"/>
        </xdr:cNvPicPr>
      </xdr:nvPicPr>
      <xdr:blipFill>
        <a:blip r:embed="rId26"/>
        <a:stretch>
          <a:fillRect/>
        </a:stretch>
      </xdr:blipFill>
      <xdr:spPr>
        <a:xfrm>
          <a:off x="11850370" y="67938015"/>
          <a:ext cx="1824355" cy="990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169</xdr:row>
      <xdr:rowOff>0</xdr:rowOff>
    </xdr:from>
    <xdr:to>
      <xdr:col>9</xdr:col>
      <xdr:colOff>151130</xdr:colOff>
      <xdr:row>170</xdr:row>
      <xdr:rowOff>329565</xdr:rowOff>
    </xdr:to>
    <xdr:pic>
      <xdr:nvPicPr>
        <xdr:cNvPr id="28" name="图片 6"/>
        <xdr:cNvPicPr>
          <a:picLocks noChangeAspect="1"/>
        </xdr:cNvPicPr>
      </xdr:nvPicPr>
      <xdr:blipFill>
        <a:blip r:embed="rId27"/>
        <a:stretch>
          <a:fillRect/>
        </a:stretch>
      </xdr:blipFill>
      <xdr:spPr>
        <a:xfrm>
          <a:off x="10415905" y="73470135"/>
          <a:ext cx="1585595" cy="12058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170</xdr:row>
      <xdr:rowOff>0</xdr:rowOff>
    </xdr:from>
    <xdr:to>
      <xdr:col>9</xdr:col>
      <xdr:colOff>124460</xdr:colOff>
      <xdr:row>170</xdr:row>
      <xdr:rowOff>1102995</xdr:rowOff>
    </xdr:to>
    <xdr:pic>
      <xdr:nvPicPr>
        <xdr:cNvPr id="29" name="图片 7"/>
        <xdr:cNvPicPr>
          <a:picLocks noChangeAspect="1"/>
        </xdr:cNvPicPr>
      </xdr:nvPicPr>
      <xdr:blipFill>
        <a:blip r:embed="rId28"/>
        <a:stretch>
          <a:fillRect/>
        </a:stretch>
      </xdr:blipFill>
      <xdr:spPr>
        <a:xfrm>
          <a:off x="10415905" y="74346435"/>
          <a:ext cx="1558925" cy="11029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170</xdr:row>
      <xdr:rowOff>0</xdr:rowOff>
    </xdr:from>
    <xdr:to>
      <xdr:col>9</xdr:col>
      <xdr:colOff>118110</xdr:colOff>
      <xdr:row>171</xdr:row>
      <xdr:rowOff>14605</xdr:rowOff>
    </xdr:to>
    <xdr:pic>
      <xdr:nvPicPr>
        <xdr:cNvPr id="30" name="图片 8"/>
        <xdr:cNvPicPr>
          <a:picLocks noChangeAspect="1"/>
        </xdr:cNvPicPr>
      </xdr:nvPicPr>
      <xdr:blipFill>
        <a:blip r:embed="rId29"/>
        <a:stretch>
          <a:fillRect/>
        </a:stretch>
      </xdr:blipFill>
      <xdr:spPr>
        <a:xfrm>
          <a:off x="10415905" y="74346435"/>
          <a:ext cx="1552575" cy="12592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172</xdr:row>
      <xdr:rowOff>0</xdr:rowOff>
    </xdr:from>
    <xdr:to>
      <xdr:col>9</xdr:col>
      <xdr:colOff>120650</xdr:colOff>
      <xdr:row>172</xdr:row>
      <xdr:rowOff>1132205</xdr:rowOff>
    </xdr:to>
    <xdr:pic>
      <xdr:nvPicPr>
        <xdr:cNvPr id="31" name="图片 9"/>
        <xdr:cNvPicPr>
          <a:picLocks noChangeAspect="1"/>
        </xdr:cNvPicPr>
      </xdr:nvPicPr>
      <xdr:blipFill>
        <a:blip r:embed="rId30"/>
        <a:stretch>
          <a:fillRect/>
        </a:stretch>
      </xdr:blipFill>
      <xdr:spPr>
        <a:xfrm>
          <a:off x="10415905" y="76607035"/>
          <a:ext cx="1555115" cy="11322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172</xdr:row>
      <xdr:rowOff>0</xdr:rowOff>
    </xdr:from>
    <xdr:to>
      <xdr:col>11</xdr:col>
      <xdr:colOff>129540</xdr:colOff>
      <xdr:row>172</xdr:row>
      <xdr:rowOff>1003300</xdr:rowOff>
    </xdr:to>
    <xdr:pic>
      <xdr:nvPicPr>
        <xdr:cNvPr id="32" name="图片 10"/>
        <xdr:cNvPicPr>
          <a:picLocks noChangeAspect="1"/>
        </xdr:cNvPicPr>
      </xdr:nvPicPr>
      <xdr:blipFill>
        <a:blip r:embed="rId31"/>
        <a:stretch>
          <a:fillRect/>
        </a:stretch>
      </xdr:blipFill>
      <xdr:spPr>
        <a:xfrm>
          <a:off x="11850370" y="76607035"/>
          <a:ext cx="1777365" cy="10033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175</xdr:row>
      <xdr:rowOff>0</xdr:rowOff>
    </xdr:from>
    <xdr:to>
      <xdr:col>13</xdr:col>
      <xdr:colOff>667385</xdr:colOff>
      <xdr:row>175</xdr:row>
      <xdr:rowOff>697865</xdr:rowOff>
    </xdr:to>
    <xdr:pic>
      <xdr:nvPicPr>
        <xdr:cNvPr id="33" name="图片 11"/>
        <xdr:cNvPicPr>
          <a:picLocks noChangeAspect="1"/>
        </xdr:cNvPicPr>
      </xdr:nvPicPr>
      <xdr:blipFill>
        <a:blip r:embed="rId32"/>
        <a:stretch>
          <a:fillRect/>
        </a:stretch>
      </xdr:blipFill>
      <xdr:spPr>
        <a:xfrm>
          <a:off x="11850370" y="79616935"/>
          <a:ext cx="5205730" cy="6978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263</xdr:row>
      <xdr:rowOff>53340</xdr:rowOff>
    </xdr:from>
    <xdr:to>
      <xdr:col>10</xdr:col>
      <xdr:colOff>441960</xdr:colOff>
      <xdr:row>264</xdr:row>
      <xdr:rowOff>305435</xdr:rowOff>
    </xdr:to>
    <xdr:pic>
      <xdr:nvPicPr>
        <xdr:cNvPr id="34" name="图片 13"/>
        <xdr:cNvPicPr>
          <a:picLocks noChangeAspect="1"/>
        </xdr:cNvPicPr>
      </xdr:nvPicPr>
      <xdr:blipFill>
        <a:blip r:embed="rId33"/>
        <a:stretch>
          <a:fillRect/>
        </a:stretch>
      </xdr:blipFill>
      <xdr:spPr>
        <a:xfrm>
          <a:off x="11850370" y="132130165"/>
          <a:ext cx="1403985" cy="8235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21</xdr:row>
      <xdr:rowOff>436880</xdr:rowOff>
    </xdr:from>
    <xdr:to>
      <xdr:col>11</xdr:col>
      <xdr:colOff>1713865</xdr:colOff>
      <xdr:row>24</xdr:row>
      <xdr:rowOff>431800</xdr:rowOff>
    </xdr:to>
    <xdr:pic>
      <xdr:nvPicPr>
        <xdr:cNvPr id="35" name="图片 34"/>
        <xdr:cNvPicPr>
          <a:picLocks noChangeAspect="1"/>
        </xdr:cNvPicPr>
      </xdr:nvPicPr>
      <xdr:blipFill>
        <a:blip r:embed="rId34"/>
        <a:stretch>
          <a:fillRect/>
        </a:stretch>
      </xdr:blipFill>
      <xdr:spPr>
        <a:xfrm>
          <a:off x="11850370" y="9444990"/>
          <a:ext cx="3361690" cy="28397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175</xdr:row>
      <xdr:rowOff>0</xdr:rowOff>
    </xdr:from>
    <xdr:to>
      <xdr:col>10</xdr:col>
      <xdr:colOff>21590</xdr:colOff>
      <xdr:row>176</xdr:row>
      <xdr:rowOff>614680</xdr:rowOff>
    </xdr:to>
    <xdr:pic>
      <xdr:nvPicPr>
        <xdr:cNvPr id="36" name="图片 35"/>
        <xdr:cNvPicPr>
          <a:picLocks noChangeAspect="1"/>
        </xdr:cNvPicPr>
      </xdr:nvPicPr>
      <xdr:blipFill>
        <a:blip r:embed="rId35"/>
        <a:stretch>
          <a:fillRect/>
        </a:stretch>
      </xdr:blipFill>
      <xdr:spPr>
        <a:xfrm>
          <a:off x="11850370" y="79616935"/>
          <a:ext cx="983615" cy="14020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225</xdr:row>
      <xdr:rowOff>46355</xdr:rowOff>
    </xdr:from>
    <xdr:to>
      <xdr:col>10</xdr:col>
      <xdr:colOff>671830</xdr:colOff>
      <xdr:row>226</xdr:row>
      <xdr:rowOff>57785</xdr:rowOff>
    </xdr:to>
    <xdr:pic>
      <xdr:nvPicPr>
        <xdr:cNvPr id="37" name="图片 36"/>
        <xdr:cNvPicPr>
          <a:picLocks noChangeAspect="1"/>
        </xdr:cNvPicPr>
      </xdr:nvPicPr>
      <xdr:blipFill>
        <a:blip r:embed="rId36"/>
        <a:stretch>
          <a:fillRect/>
        </a:stretch>
      </xdr:blipFill>
      <xdr:spPr>
        <a:xfrm>
          <a:off x="11850370" y="105889425"/>
          <a:ext cx="1633855" cy="773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10</xdr:col>
      <xdr:colOff>0</xdr:colOff>
      <xdr:row>300</xdr:row>
      <xdr:rowOff>0</xdr:rowOff>
    </xdr:from>
    <xdr:to>
      <xdr:col>12</xdr:col>
      <xdr:colOff>83820</xdr:colOff>
      <xdr:row>305</xdr:row>
      <xdr:rowOff>359410</xdr:rowOff>
    </xdr:to>
    <xdr:pic>
      <xdr:nvPicPr>
        <xdr:cNvPr id="38" name="图片 37"/>
        <xdr:cNvPicPr>
          <a:picLocks noChangeAspect="1"/>
        </xdr:cNvPicPr>
      </xdr:nvPicPr>
      <xdr:blipFill>
        <a:blip r:embed="rId37"/>
        <a:stretch>
          <a:fillRect/>
        </a:stretch>
      </xdr:blipFill>
      <xdr:spPr>
        <a:xfrm>
          <a:off x="12812395" y="149382480"/>
          <a:ext cx="2974340" cy="25215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214</xdr:row>
      <xdr:rowOff>0</xdr:rowOff>
    </xdr:from>
    <xdr:to>
      <xdr:col>11</xdr:col>
      <xdr:colOff>618490</xdr:colOff>
      <xdr:row>215</xdr:row>
      <xdr:rowOff>672465</xdr:rowOff>
    </xdr:to>
    <xdr:pic>
      <xdr:nvPicPr>
        <xdr:cNvPr id="41" name="图片 40"/>
        <xdr:cNvPicPr>
          <a:picLocks noChangeAspect="1"/>
        </xdr:cNvPicPr>
      </xdr:nvPicPr>
      <xdr:blipFill>
        <a:blip r:embed="rId38"/>
        <a:stretch>
          <a:fillRect/>
        </a:stretch>
      </xdr:blipFill>
      <xdr:spPr>
        <a:xfrm>
          <a:off x="11850370" y="98578670"/>
          <a:ext cx="2266315" cy="1320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236</xdr:row>
      <xdr:rowOff>495935</xdr:rowOff>
    </xdr:from>
    <xdr:to>
      <xdr:col>11</xdr:col>
      <xdr:colOff>171450</xdr:colOff>
      <xdr:row>238</xdr:row>
      <xdr:rowOff>86360</xdr:rowOff>
    </xdr:to>
    <xdr:pic>
      <xdr:nvPicPr>
        <xdr:cNvPr id="42" name="图片 41"/>
        <xdr:cNvPicPr>
          <a:picLocks noChangeAspect="1"/>
        </xdr:cNvPicPr>
      </xdr:nvPicPr>
      <xdr:blipFill>
        <a:blip r:embed="rId39"/>
        <a:stretch>
          <a:fillRect/>
        </a:stretch>
      </xdr:blipFill>
      <xdr:spPr>
        <a:xfrm>
          <a:off x="11850370" y="114722275"/>
          <a:ext cx="1819275" cy="13049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245</xdr:row>
      <xdr:rowOff>0</xdr:rowOff>
    </xdr:from>
    <xdr:to>
      <xdr:col>10</xdr:col>
      <xdr:colOff>76835</xdr:colOff>
      <xdr:row>245</xdr:row>
      <xdr:rowOff>1201420</xdr:rowOff>
    </xdr:to>
    <xdr:pic>
      <xdr:nvPicPr>
        <xdr:cNvPr id="43" name="图片 42"/>
        <xdr:cNvPicPr>
          <a:picLocks noChangeAspect="1"/>
        </xdr:cNvPicPr>
      </xdr:nvPicPr>
      <xdr:blipFill>
        <a:blip r:embed="rId40"/>
        <a:stretch>
          <a:fillRect/>
        </a:stretch>
      </xdr:blipFill>
      <xdr:spPr>
        <a:xfrm>
          <a:off x="11850370" y="121288175"/>
          <a:ext cx="1038860" cy="12014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248</xdr:row>
      <xdr:rowOff>224790</xdr:rowOff>
    </xdr:from>
    <xdr:to>
      <xdr:col>10</xdr:col>
      <xdr:colOff>372110</xdr:colOff>
      <xdr:row>249</xdr:row>
      <xdr:rowOff>887730</xdr:rowOff>
    </xdr:to>
    <xdr:pic>
      <xdr:nvPicPr>
        <xdr:cNvPr id="44" name="图片 43"/>
        <xdr:cNvPicPr>
          <a:picLocks noChangeAspect="1"/>
        </xdr:cNvPicPr>
      </xdr:nvPicPr>
      <xdr:blipFill>
        <a:blip r:embed="rId41"/>
        <a:stretch>
          <a:fillRect/>
        </a:stretch>
      </xdr:blipFill>
      <xdr:spPr>
        <a:xfrm>
          <a:off x="11850370" y="124586365"/>
          <a:ext cx="1334135" cy="1323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82</xdr:row>
      <xdr:rowOff>0</xdr:rowOff>
    </xdr:from>
    <xdr:to>
      <xdr:col>8</xdr:col>
      <xdr:colOff>1250315</xdr:colOff>
      <xdr:row>83</xdr:row>
      <xdr:rowOff>500380</xdr:rowOff>
    </xdr:to>
    <xdr:pic>
      <xdr:nvPicPr>
        <xdr:cNvPr id="45" name="图片 44"/>
        <xdr:cNvPicPr>
          <a:picLocks noChangeAspect="1"/>
        </xdr:cNvPicPr>
      </xdr:nvPicPr>
      <xdr:blipFill>
        <a:blip r:embed="rId42"/>
        <a:stretch>
          <a:fillRect/>
        </a:stretch>
      </xdr:blipFill>
      <xdr:spPr>
        <a:xfrm>
          <a:off x="10415905" y="35824160"/>
          <a:ext cx="1250315" cy="1071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79</xdr:row>
      <xdr:rowOff>0</xdr:rowOff>
    </xdr:from>
    <xdr:to>
      <xdr:col>8</xdr:col>
      <xdr:colOff>1250315</xdr:colOff>
      <xdr:row>80</xdr:row>
      <xdr:rowOff>398780</xdr:rowOff>
    </xdr:to>
    <xdr:pic>
      <xdr:nvPicPr>
        <xdr:cNvPr id="46" name="图片 45"/>
        <xdr:cNvPicPr>
          <a:picLocks noChangeAspect="1"/>
        </xdr:cNvPicPr>
      </xdr:nvPicPr>
      <xdr:blipFill>
        <a:blip r:embed="rId42"/>
        <a:stretch>
          <a:fillRect/>
        </a:stretch>
      </xdr:blipFill>
      <xdr:spPr>
        <a:xfrm>
          <a:off x="10415905" y="32661860"/>
          <a:ext cx="1250315" cy="1071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0</xdr:colOff>
      <xdr:row>97</xdr:row>
      <xdr:rowOff>0</xdr:rowOff>
    </xdr:from>
    <xdr:to>
      <xdr:col>11</xdr:col>
      <xdr:colOff>1686560</xdr:colOff>
      <xdr:row>98</xdr:row>
      <xdr:rowOff>445135</xdr:rowOff>
    </xdr:to>
    <xdr:pic>
      <xdr:nvPicPr>
        <xdr:cNvPr id="47" name="图片 46"/>
        <xdr:cNvPicPr>
          <a:picLocks noChangeAspect="1"/>
        </xdr:cNvPicPr>
      </xdr:nvPicPr>
      <xdr:blipFill>
        <a:blip r:embed="rId43"/>
        <a:stretch>
          <a:fillRect/>
        </a:stretch>
      </xdr:blipFill>
      <xdr:spPr>
        <a:xfrm>
          <a:off x="13498195" y="44218860"/>
          <a:ext cx="1686560" cy="10420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96</xdr:row>
      <xdr:rowOff>0</xdr:rowOff>
    </xdr:from>
    <xdr:to>
      <xdr:col>10</xdr:col>
      <xdr:colOff>665480</xdr:colOff>
      <xdr:row>98</xdr:row>
      <xdr:rowOff>307975</xdr:rowOff>
    </xdr:to>
    <xdr:pic>
      <xdr:nvPicPr>
        <xdr:cNvPr id="48" name="图片 47"/>
        <xdr:cNvPicPr>
          <a:picLocks noChangeAspect="1"/>
        </xdr:cNvPicPr>
      </xdr:nvPicPr>
      <xdr:blipFill>
        <a:blip r:embed="rId44"/>
        <a:stretch>
          <a:fillRect/>
        </a:stretch>
      </xdr:blipFill>
      <xdr:spPr>
        <a:xfrm>
          <a:off x="11850370" y="43660060"/>
          <a:ext cx="1627505" cy="14636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116</xdr:row>
      <xdr:rowOff>0</xdr:rowOff>
    </xdr:from>
    <xdr:to>
      <xdr:col>11</xdr:col>
      <xdr:colOff>339090</xdr:colOff>
      <xdr:row>117</xdr:row>
      <xdr:rowOff>717550</xdr:rowOff>
    </xdr:to>
    <xdr:pic>
      <xdr:nvPicPr>
        <xdr:cNvPr id="49" name="图片 48"/>
        <xdr:cNvPicPr>
          <a:picLocks noChangeAspect="1"/>
        </xdr:cNvPicPr>
      </xdr:nvPicPr>
      <xdr:blipFill>
        <a:blip r:embed="rId45"/>
        <a:stretch>
          <a:fillRect/>
        </a:stretch>
      </xdr:blipFill>
      <xdr:spPr>
        <a:xfrm>
          <a:off x="11850370" y="52016660"/>
          <a:ext cx="1986915" cy="1079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9</xdr:row>
      <xdr:rowOff>233680</xdr:rowOff>
    </xdr:from>
    <xdr:to>
      <xdr:col>10</xdr:col>
      <xdr:colOff>349250</xdr:colOff>
      <xdr:row>12</xdr:row>
      <xdr:rowOff>270510</xdr:rowOff>
    </xdr:to>
    <xdr:pic>
      <xdr:nvPicPr>
        <xdr:cNvPr id="50" name="图片 49"/>
        <xdr:cNvPicPr>
          <a:picLocks noChangeAspect="1"/>
        </xdr:cNvPicPr>
      </xdr:nvPicPr>
      <xdr:blipFill>
        <a:blip r:embed="rId46"/>
        <a:stretch>
          <a:fillRect/>
        </a:stretch>
      </xdr:blipFill>
      <xdr:spPr>
        <a:xfrm>
          <a:off x="11850370" y="4504055"/>
          <a:ext cx="1311275" cy="1193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0</xdr:colOff>
      <xdr:row>274</xdr:row>
      <xdr:rowOff>0</xdr:rowOff>
    </xdr:from>
    <xdr:to>
      <xdr:col>11</xdr:col>
      <xdr:colOff>266065</xdr:colOff>
      <xdr:row>275</xdr:row>
      <xdr:rowOff>353060</xdr:rowOff>
    </xdr:to>
    <xdr:pic>
      <xdr:nvPicPr>
        <xdr:cNvPr id="51" name="图片 50"/>
        <xdr:cNvPicPr>
          <a:picLocks noChangeAspect="1"/>
        </xdr:cNvPicPr>
      </xdr:nvPicPr>
      <xdr:blipFill>
        <a:blip r:embed="rId47"/>
        <a:stretch>
          <a:fillRect/>
        </a:stretch>
      </xdr:blipFill>
      <xdr:spPr>
        <a:xfrm>
          <a:off x="11850370" y="138152505"/>
          <a:ext cx="1913890" cy="78549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257175</xdr:colOff>
      <xdr:row>2</xdr:row>
      <xdr:rowOff>311150</xdr:rowOff>
    </xdr:from>
    <xdr:to>
      <xdr:col>9</xdr:col>
      <xdr:colOff>1971040</xdr:colOff>
      <xdr:row>12</xdr:row>
      <xdr:rowOff>77470</xdr:rowOff>
    </xdr:to>
    <xdr:pic>
      <xdr:nvPicPr>
        <xdr:cNvPr id="35" name="图片 3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618220" y="1174750"/>
          <a:ext cx="3361690" cy="283972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tabSelected="1" topLeftCell="A7" workbookViewId="0">
      <selection activeCell="H13" sqref="H13"/>
    </sheetView>
  </sheetViews>
  <sheetFormatPr defaultColWidth="6.75" defaultRowHeight="12" outlineLevelCol="6"/>
  <cols>
    <col min="1" max="1" width="6.75" style="155"/>
    <col min="2" max="2" width="13.875" style="155" customWidth="1"/>
    <col min="3" max="3" width="15.625" style="155" customWidth="1"/>
    <col min="4" max="4" width="13.8083333333333" style="158" customWidth="1"/>
    <col min="5" max="5" width="16.1166666666667" style="158" customWidth="1"/>
    <col min="6" max="6" width="19.125" style="158" customWidth="1"/>
    <col min="7" max="7" width="14.125" style="155" customWidth="1"/>
    <col min="8" max="8" width="11.125" style="155"/>
    <col min="9" max="9" width="6.75" style="155"/>
    <col min="10" max="10" width="10.125" style="155"/>
    <col min="11" max="11" width="11.125" style="155"/>
    <col min="12" max="235" width="6.75" style="155"/>
    <col min="236" max="236" width="6.25" style="155" customWidth="1"/>
    <col min="237" max="237" width="18.875" style="155" customWidth="1"/>
    <col min="238" max="238" width="12.25" style="155" customWidth="1"/>
    <col min="239" max="247" width="10.25" style="155" customWidth="1"/>
    <col min="248" max="16384" width="6.75" style="155"/>
  </cols>
  <sheetData>
    <row r="1" s="154" customFormat="1" ht="45" customHeight="1" spans="1:6">
      <c r="A1" s="159" t="s">
        <v>0</v>
      </c>
      <c r="B1" s="159"/>
      <c r="C1" s="159"/>
      <c r="D1" s="160"/>
      <c r="E1" s="160"/>
      <c r="F1" s="161"/>
    </row>
    <row r="2" s="154" customFormat="1" ht="38.1" customHeight="1" spans="1:6">
      <c r="A2" s="162" t="s">
        <v>1</v>
      </c>
      <c r="B2" s="163" t="s">
        <v>2</v>
      </c>
      <c r="C2" s="163" t="s">
        <v>3</v>
      </c>
      <c r="D2" s="164" t="s">
        <v>4</v>
      </c>
      <c r="E2" s="164" t="s">
        <v>5</v>
      </c>
      <c r="F2" s="165" t="s">
        <v>6</v>
      </c>
    </row>
    <row r="3" s="155" customFormat="1" ht="25" customHeight="1" spans="1:6">
      <c r="A3" s="166">
        <v>1</v>
      </c>
      <c r="B3" s="167" t="s">
        <v>7</v>
      </c>
      <c r="C3" s="168">
        <f>沥青路!F25</f>
        <v>508799.785</v>
      </c>
      <c r="D3" s="169"/>
      <c r="E3" s="170"/>
      <c r="F3" s="171"/>
    </row>
    <row r="4" s="155" customFormat="1" ht="25" customHeight="1" spans="1:6">
      <c r="A4" s="166">
        <v>2</v>
      </c>
      <c r="B4" s="167" t="s">
        <v>8</v>
      </c>
      <c r="C4" s="168">
        <f>园内铺装!F180</f>
        <v>1107258.5533545</v>
      </c>
      <c r="D4" s="172"/>
      <c r="E4" s="170"/>
      <c r="F4" s="171"/>
    </row>
    <row r="5" s="155" customFormat="1" ht="25" customHeight="1" spans="1:6">
      <c r="A5" s="166">
        <v>3</v>
      </c>
      <c r="B5" s="167" t="s">
        <v>9</v>
      </c>
      <c r="C5" s="168">
        <f>小品!G326</f>
        <v>2211486.61017463</v>
      </c>
      <c r="D5" s="172"/>
      <c r="E5" s="170"/>
      <c r="F5" s="173"/>
    </row>
    <row r="6" s="155" customFormat="1" ht="25" customHeight="1" spans="1:6">
      <c r="A6" s="166">
        <v>4</v>
      </c>
      <c r="B6" s="167" t="s">
        <v>10</v>
      </c>
      <c r="C6" s="168">
        <f>围墙!F28</f>
        <v>699630.273972</v>
      </c>
      <c r="D6" s="172"/>
      <c r="E6" s="170"/>
      <c r="F6" s="171"/>
    </row>
    <row r="7" s="155" customFormat="1" ht="25" customHeight="1" spans="1:7">
      <c r="A7" s="166">
        <v>5</v>
      </c>
      <c r="B7" s="167" t="s">
        <v>11</v>
      </c>
      <c r="C7" s="168">
        <f>绿化!L124</f>
        <v>1229230.5</v>
      </c>
      <c r="D7" s="172"/>
      <c r="E7" s="170"/>
      <c r="F7" s="173" t="s">
        <v>12</v>
      </c>
      <c r="G7" s="25"/>
    </row>
    <row r="8" s="155" customFormat="1" ht="25" customHeight="1" spans="1:6">
      <c r="A8" s="166">
        <v>6</v>
      </c>
      <c r="B8" s="167" t="s">
        <v>13</v>
      </c>
      <c r="C8" s="168">
        <f>给排水!F55</f>
        <v>297869.91561</v>
      </c>
      <c r="D8" s="172"/>
      <c r="E8" s="170"/>
      <c r="F8" s="174"/>
    </row>
    <row r="9" s="155" customFormat="1" ht="25" customHeight="1" spans="1:7">
      <c r="A9" s="166">
        <v>7</v>
      </c>
      <c r="B9" s="167" t="s">
        <v>14</v>
      </c>
      <c r="C9" s="168">
        <f>电气!F70</f>
        <v>276999.7693</v>
      </c>
      <c r="D9" s="172"/>
      <c r="E9" s="170"/>
      <c r="F9" s="174"/>
      <c r="G9" s="131"/>
    </row>
    <row r="10" s="155" customFormat="1" ht="25" customHeight="1" spans="1:6">
      <c r="A10" s="166">
        <v>8</v>
      </c>
      <c r="B10" s="167" t="s">
        <v>15</v>
      </c>
      <c r="C10" s="168">
        <v>185379</v>
      </c>
      <c r="D10" s="172"/>
      <c r="E10" s="170"/>
      <c r="F10" s="173"/>
    </row>
    <row r="11" s="155" customFormat="1" ht="25" customHeight="1" spans="1:6">
      <c r="A11" s="166"/>
      <c r="B11" s="175" t="s">
        <v>16</v>
      </c>
      <c r="C11" s="168">
        <f>SUM(C3:C10)</f>
        <v>6516654.40741113</v>
      </c>
      <c r="D11" s="176"/>
      <c r="E11" s="177"/>
      <c r="F11" s="178"/>
    </row>
    <row r="12" s="156" customFormat="1" ht="51" customHeight="1" spans="1:6">
      <c r="A12" s="179" t="s">
        <v>17</v>
      </c>
      <c r="B12" s="180"/>
      <c r="C12" s="180"/>
      <c r="D12" s="181"/>
      <c r="E12" s="181"/>
      <c r="F12" s="182"/>
    </row>
    <row r="13" s="156" customFormat="1" ht="23" customHeight="1" spans="1:6">
      <c r="A13" s="183" t="s">
        <v>18</v>
      </c>
      <c r="B13" s="184"/>
      <c r="C13" s="184"/>
      <c r="D13" s="185"/>
      <c r="E13" s="185"/>
      <c r="F13" s="186"/>
    </row>
    <row r="14" s="156" customFormat="1" ht="21" customHeight="1" spans="1:6">
      <c r="A14" s="183" t="s">
        <v>19</v>
      </c>
      <c r="B14" s="184"/>
      <c r="C14" s="184"/>
      <c r="D14" s="185"/>
      <c r="E14" s="185"/>
      <c r="F14" s="186"/>
    </row>
    <row r="15" s="155" customFormat="1" ht="109" customHeight="1" spans="1:6">
      <c r="A15" s="183" t="s">
        <v>20</v>
      </c>
      <c r="B15" s="184"/>
      <c r="C15" s="184"/>
      <c r="D15" s="185"/>
      <c r="E15" s="185"/>
      <c r="F15" s="186"/>
    </row>
    <row r="16" s="155" customFormat="1" ht="33" customHeight="1" spans="1:6">
      <c r="A16" s="183" t="s">
        <v>21</v>
      </c>
      <c r="B16" s="184"/>
      <c r="C16" s="184"/>
      <c r="D16" s="185"/>
      <c r="E16" s="185"/>
      <c r="F16" s="186"/>
    </row>
    <row r="17" s="155" customFormat="1" ht="21" customHeight="1" spans="1:6">
      <c r="A17" s="183" t="s">
        <v>22</v>
      </c>
      <c r="B17" s="184"/>
      <c r="C17" s="184"/>
      <c r="D17" s="185"/>
      <c r="E17" s="185"/>
      <c r="F17" s="186"/>
    </row>
    <row r="18" s="155" customFormat="1" ht="31" customHeight="1" spans="1:6">
      <c r="A18" s="187" t="s">
        <v>23</v>
      </c>
      <c r="B18" s="187"/>
      <c r="C18" s="187"/>
      <c r="D18" s="187"/>
      <c r="E18" s="187"/>
      <c r="F18" s="187"/>
    </row>
    <row r="19" s="155" customFormat="1" ht="30" customHeight="1" spans="1:6">
      <c r="A19" s="188" t="s">
        <v>24</v>
      </c>
      <c r="B19" s="189"/>
      <c r="C19" s="189"/>
      <c r="D19" s="190"/>
      <c r="E19" s="190"/>
      <c r="F19" s="191"/>
    </row>
    <row r="20" s="155" customFormat="1" ht="27" customHeight="1" spans="1:6">
      <c r="A20" s="192" t="s">
        <v>25</v>
      </c>
      <c r="B20" s="193"/>
      <c r="C20" s="193"/>
      <c r="D20" s="194"/>
      <c r="E20" s="194"/>
      <c r="F20" s="195"/>
    </row>
    <row r="21" s="157" customFormat="1" ht="27" customHeight="1" spans="1:6">
      <c r="A21" s="196"/>
      <c r="B21" s="196"/>
      <c r="C21" s="196"/>
      <c r="D21" s="197"/>
      <c r="E21" s="197"/>
      <c r="F21" s="197"/>
    </row>
    <row r="22" s="157" customFormat="1" ht="27" customHeight="1" spans="1:6">
      <c r="A22" s="196"/>
      <c r="B22" s="196"/>
      <c r="C22" s="196"/>
      <c r="D22" s="197"/>
      <c r="E22" s="197"/>
      <c r="F22" s="197"/>
    </row>
  </sheetData>
  <protectedRanges>
    <protectedRange sqref="D3:F11" name="区域1" securityDescriptor=""/>
    <protectedRange sqref="D3:F11" name="区域2" securityDescriptor=""/>
  </protectedRanges>
  <mergeCells count="10">
    <mergeCell ref="A1:F1"/>
    <mergeCell ref="A12:F12"/>
    <mergeCell ref="A13:F13"/>
    <mergeCell ref="A14:F14"/>
    <mergeCell ref="A15:F15"/>
    <mergeCell ref="A16:F16"/>
    <mergeCell ref="A17:F17"/>
    <mergeCell ref="A18:F18"/>
    <mergeCell ref="A19:F19"/>
    <mergeCell ref="A20:F20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workbookViewId="0">
      <pane ySplit="2" topLeftCell="A22" activePane="bottomLeft" state="frozen"/>
      <selection/>
      <selection pane="bottomLeft" activeCell="G23" sqref="G23"/>
    </sheetView>
  </sheetViews>
  <sheetFormatPr defaultColWidth="9" defaultRowHeight="14.25"/>
  <cols>
    <col min="1" max="1" width="6.46666666666667" style="1" customWidth="1"/>
    <col min="2" max="2" width="30.6" style="2" customWidth="1"/>
    <col min="3" max="3" width="6.86666666666667" style="1" customWidth="1"/>
    <col min="4" max="4" width="11.5" style="3" customWidth="1"/>
    <col min="5" max="5" width="17.625" style="3" customWidth="1"/>
    <col min="6" max="7" width="17.875" style="3" customWidth="1"/>
    <col min="8" max="8" width="19.75" style="144" customWidth="1"/>
    <col min="9" max="9" width="12.6" style="1"/>
    <col min="10" max="11" width="9" style="1"/>
    <col min="12" max="12" width="16.7333333333333" style="1" customWidth="1"/>
    <col min="13" max="13" width="9" style="1"/>
    <col min="14" max="14" width="9.4" style="1"/>
    <col min="15" max="16384" width="9" style="1"/>
  </cols>
  <sheetData>
    <row r="1" ht="42" customHeight="1" spans="1:8">
      <c r="A1" s="145" t="s">
        <v>26</v>
      </c>
      <c r="B1" s="145"/>
      <c r="C1" s="145"/>
      <c r="D1" s="145"/>
      <c r="E1" s="145"/>
      <c r="F1" s="145"/>
      <c r="G1" s="145"/>
      <c r="H1" s="145"/>
    </row>
    <row r="2" ht="24" customHeight="1" spans="1:8">
      <c r="A2" s="127" t="s">
        <v>1</v>
      </c>
      <c r="B2" s="128" t="s">
        <v>27</v>
      </c>
      <c r="C2" s="127" t="s">
        <v>28</v>
      </c>
      <c r="D2" s="129" t="s">
        <v>29</v>
      </c>
      <c r="E2" s="21" t="s">
        <v>30</v>
      </c>
      <c r="F2" s="21" t="s">
        <v>31</v>
      </c>
      <c r="G2" s="21" t="s">
        <v>6</v>
      </c>
      <c r="H2" s="146" t="s">
        <v>32</v>
      </c>
    </row>
    <row r="3" ht="24" customHeight="1" spans="1:8">
      <c r="A3" s="132"/>
      <c r="B3" s="133" t="s">
        <v>33</v>
      </c>
      <c r="C3" s="132"/>
      <c r="D3" s="8"/>
      <c r="E3" s="8"/>
      <c r="F3" s="8"/>
      <c r="G3" s="8"/>
      <c r="H3" s="147"/>
    </row>
    <row r="4" ht="24" customHeight="1" spans="1:8">
      <c r="A4" s="5">
        <v>1</v>
      </c>
      <c r="B4" s="148" t="s">
        <v>34</v>
      </c>
      <c r="C4" s="5" t="s">
        <v>35</v>
      </c>
      <c r="D4" s="8">
        <f>630+638</f>
        <v>1268</v>
      </c>
      <c r="E4" s="8">
        <v>0</v>
      </c>
      <c r="F4" s="8">
        <f>D4*E4</f>
        <v>0</v>
      </c>
      <c r="G4" s="8" t="s">
        <v>36</v>
      </c>
      <c r="H4" s="147" t="s">
        <v>37</v>
      </c>
    </row>
    <row r="5" ht="24" customHeight="1" spans="1:8">
      <c r="A5" s="5">
        <v>2</v>
      </c>
      <c r="B5" s="149" t="s">
        <v>38</v>
      </c>
      <c r="C5" s="5" t="s">
        <v>39</v>
      </c>
      <c r="D5" s="8">
        <f>25881-22417+158</f>
        <v>3622</v>
      </c>
      <c r="E5" s="8">
        <v>0</v>
      </c>
      <c r="F5" s="8">
        <f>D5*E5</f>
        <v>0</v>
      </c>
      <c r="G5" s="8" t="s">
        <v>36</v>
      </c>
      <c r="H5" s="147"/>
    </row>
    <row r="6" ht="24" customHeight="1" spans="1:8">
      <c r="A6" s="5">
        <v>3</v>
      </c>
      <c r="B6" s="149" t="s">
        <v>40</v>
      </c>
      <c r="C6" s="5" t="s">
        <v>39</v>
      </c>
      <c r="D6" s="8">
        <f>22417.38-21656.46</f>
        <v>760.920000000002</v>
      </c>
      <c r="E6" s="8">
        <v>0</v>
      </c>
      <c r="F6" s="8">
        <f>D6*E6</f>
        <v>0</v>
      </c>
      <c r="G6" s="8" t="s">
        <v>36</v>
      </c>
      <c r="H6" s="147" t="s">
        <v>41</v>
      </c>
    </row>
    <row r="7" ht="24" customHeight="1" spans="1:8">
      <c r="A7" s="5">
        <v>4</v>
      </c>
      <c r="B7" s="149" t="s">
        <v>42</v>
      </c>
      <c r="C7" s="5" t="s">
        <v>39</v>
      </c>
      <c r="D7" s="8">
        <f>D5+D6</f>
        <v>4382.92</v>
      </c>
      <c r="E7" s="8">
        <v>0</v>
      </c>
      <c r="F7" s="8">
        <f>D7*E7</f>
        <v>0</v>
      </c>
      <c r="G7" s="8" t="s">
        <v>36</v>
      </c>
      <c r="H7" s="147"/>
    </row>
    <row r="8" ht="24" customHeight="1" spans="1:8">
      <c r="A8" s="5">
        <v>5</v>
      </c>
      <c r="B8" s="149" t="s">
        <v>43</v>
      </c>
      <c r="C8" s="5" t="s">
        <v>39</v>
      </c>
      <c r="D8" s="8">
        <f>D7</f>
        <v>4382.92</v>
      </c>
      <c r="E8" s="8">
        <v>0</v>
      </c>
      <c r="F8" s="8">
        <f>D8*E8</f>
        <v>0</v>
      </c>
      <c r="G8" s="8" t="s">
        <v>36</v>
      </c>
      <c r="H8" s="147"/>
    </row>
    <row r="9" ht="24" customHeight="1" spans="1:8">
      <c r="A9" s="5">
        <v>6</v>
      </c>
      <c r="B9" s="149" t="s">
        <v>44</v>
      </c>
      <c r="C9" s="5" t="s">
        <v>45</v>
      </c>
      <c r="D9" s="8">
        <f>D11*0.15</f>
        <v>657.438</v>
      </c>
      <c r="E9" s="8">
        <v>390</v>
      </c>
      <c r="F9" s="8">
        <f t="shared" ref="F5:F24" si="0">D9*E9</f>
        <v>256400.82</v>
      </c>
      <c r="G9" s="8" t="s">
        <v>46</v>
      </c>
      <c r="H9" s="150"/>
    </row>
    <row r="10" ht="24" customHeight="1" spans="1:8">
      <c r="A10" s="5">
        <v>7</v>
      </c>
      <c r="B10" s="151" t="s">
        <v>47</v>
      </c>
      <c r="C10" s="5" t="s">
        <v>45</v>
      </c>
      <c r="D10" s="8">
        <f>D11*0.15</f>
        <v>657.438</v>
      </c>
      <c r="E10" s="8">
        <v>110</v>
      </c>
      <c r="F10" s="8">
        <f t="shared" si="0"/>
        <v>72318.18</v>
      </c>
      <c r="G10" s="8" t="s">
        <v>46</v>
      </c>
      <c r="H10" s="150"/>
    </row>
    <row r="11" ht="24" customHeight="1" spans="1:8">
      <c r="A11" s="5">
        <v>8</v>
      </c>
      <c r="B11" s="149" t="s">
        <v>48</v>
      </c>
      <c r="C11" s="5" t="s">
        <v>39</v>
      </c>
      <c r="D11" s="8">
        <f>D7</f>
        <v>4382.92</v>
      </c>
      <c r="E11" s="8">
        <v>2.5</v>
      </c>
      <c r="F11" s="8">
        <f t="shared" si="0"/>
        <v>10957.3</v>
      </c>
      <c r="G11" s="8" t="s">
        <v>46</v>
      </c>
      <c r="H11" s="147"/>
    </row>
    <row r="12" ht="24" customHeight="1" spans="1:8">
      <c r="A12" s="137"/>
      <c r="B12" s="152" t="s">
        <v>49</v>
      </c>
      <c r="C12" s="137"/>
      <c r="D12" s="8">
        <v>1859.29</v>
      </c>
      <c r="E12" s="8"/>
      <c r="F12" s="8"/>
      <c r="G12" s="8"/>
      <c r="H12" s="147"/>
    </row>
    <row r="13" ht="24" customHeight="1" spans="1:10">
      <c r="A13" s="5">
        <v>9</v>
      </c>
      <c r="B13" s="148" t="s">
        <v>50</v>
      </c>
      <c r="C13" s="5" t="s">
        <v>35</v>
      </c>
      <c r="D13" s="8">
        <f>189.86+493+132.6+79.4+261+48+253.63+368.8+23.5*2-7*2-D14-D15-283.43</f>
        <v>988.14</v>
      </c>
      <c r="E13" s="8">
        <v>21</v>
      </c>
      <c r="F13" s="8">
        <f t="shared" si="0"/>
        <v>20750.94</v>
      </c>
      <c r="G13" s="8" t="s">
        <v>51</v>
      </c>
      <c r="H13" s="147"/>
      <c r="I13" s="1" t="e">
        <f>#REF!*1.1</f>
        <v>#REF!</v>
      </c>
      <c r="J13" s="1">
        <v>498660</v>
      </c>
    </row>
    <row r="14" ht="24" customHeight="1" spans="1:8">
      <c r="A14" s="5">
        <v>10</v>
      </c>
      <c r="B14" s="148" t="s">
        <v>52</v>
      </c>
      <c r="C14" s="5" t="s">
        <v>35</v>
      </c>
      <c r="D14" s="8">
        <f>13.2+28.8+48.1+13.36*2+6+29.4+8.5+22.5+13.2+13.2+5.4*4+13.2*2+26.4+8.4*2+12.6+13.2+31.2+16.2+12+10.2+16.2+33.6+16.8+17.4+18+8.4*2+18.6+12+16.2+14.5+11.4-66</f>
        <v>521.72</v>
      </c>
      <c r="E14" s="8">
        <v>21</v>
      </c>
      <c r="F14" s="8">
        <f t="shared" si="0"/>
        <v>10956.12</v>
      </c>
      <c r="G14" s="8" t="s">
        <v>51</v>
      </c>
      <c r="H14" s="147"/>
    </row>
    <row r="15" ht="24" customHeight="1" spans="1:8">
      <c r="A15" s="5">
        <v>11</v>
      </c>
      <c r="B15" s="153" t="s">
        <v>53</v>
      </c>
      <c r="C15" s="5" t="s">
        <v>35</v>
      </c>
      <c r="D15" s="8">
        <f>0.6*2+0.6*4+0.6*4+0.6*4+0.6*4+0.6*4+0.6*4+0.6*4*11+0.6*4+0.6*4*9</f>
        <v>66</v>
      </c>
      <c r="E15" s="8">
        <v>21</v>
      </c>
      <c r="F15" s="8">
        <f t="shared" si="0"/>
        <v>1386</v>
      </c>
      <c r="G15" s="8" t="s">
        <v>51</v>
      </c>
      <c r="H15" s="147"/>
    </row>
    <row r="16" ht="24" customHeight="1" spans="1:8">
      <c r="A16" s="5">
        <v>12</v>
      </c>
      <c r="B16" s="153" t="s">
        <v>54</v>
      </c>
      <c r="C16" s="5" t="s">
        <v>35</v>
      </c>
      <c r="D16" s="8">
        <f>35.7+37.4+56.4+17.3+16.4+46.2+33.63+3*11+7.4</f>
        <v>283.43</v>
      </c>
      <c r="E16" s="8">
        <v>16.5</v>
      </c>
      <c r="F16" s="8">
        <f t="shared" si="0"/>
        <v>4676.595</v>
      </c>
      <c r="G16" s="8" t="s">
        <v>51</v>
      </c>
      <c r="H16" s="147"/>
    </row>
    <row r="17" ht="24" customHeight="1" spans="1:8">
      <c r="A17" s="5">
        <v>13</v>
      </c>
      <c r="B17" s="153" t="s">
        <v>55</v>
      </c>
      <c r="C17" s="5" t="s">
        <v>56</v>
      </c>
      <c r="D17" s="8">
        <v>14</v>
      </c>
      <c r="E17" s="8">
        <v>13</v>
      </c>
      <c r="F17" s="8">
        <f t="shared" si="0"/>
        <v>182</v>
      </c>
      <c r="G17" s="8" t="s">
        <v>51</v>
      </c>
      <c r="H17" s="147"/>
    </row>
    <row r="18" ht="24" customHeight="1" spans="1:9">
      <c r="A18" s="5">
        <v>14</v>
      </c>
      <c r="B18" s="149" t="s">
        <v>57</v>
      </c>
      <c r="C18" s="5" t="s">
        <v>45</v>
      </c>
      <c r="D18" s="8">
        <f>D20*0.15</f>
        <v>111.5574</v>
      </c>
      <c r="E18" s="8">
        <v>390</v>
      </c>
      <c r="F18" s="8">
        <f t="shared" si="0"/>
        <v>43507.386</v>
      </c>
      <c r="G18" s="8" t="s">
        <v>46</v>
      </c>
      <c r="H18" s="150"/>
      <c r="I18" s="1" t="e">
        <f>#REF!*1.1</f>
        <v>#REF!</v>
      </c>
    </row>
    <row r="19" ht="24" customHeight="1" spans="1:8">
      <c r="A19" s="5">
        <v>15</v>
      </c>
      <c r="B19" s="151" t="s">
        <v>47</v>
      </c>
      <c r="C19" s="5" t="s">
        <v>45</v>
      </c>
      <c r="D19" s="8">
        <f>D20*0.15</f>
        <v>111.5574</v>
      </c>
      <c r="E19" s="8">
        <v>110</v>
      </c>
      <c r="F19" s="8">
        <f t="shared" si="0"/>
        <v>12271.314</v>
      </c>
      <c r="G19" s="8" t="s">
        <v>46</v>
      </c>
      <c r="H19" s="150"/>
    </row>
    <row r="20" ht="24" customHeight="1" spans="1:8">
      <c r="A20" s="5">
        <v>16</v>
      </c>
      <c r="B20" s="149" t="s">
        <v>48</v>
      </c>
      <c r="C20" s="5" t="s">
        <v>39</v>
      </c>
      <c r="D20" s="8">
        <f>D12*0.4</f>
        <v>743.716</v>
      </c>
      <c r="E20" s="8">
        <v>2.5</v>
      </c>
      <c r="F20" s="8">
        <f t="shared" si="0"/>
        <v>1859.29</v>
      </c>
      <c r="G20" s="8" t="s">
        <v>46</v>
      </c>
      <c r="H20" s="147"/>
    </row>
    <row r="21" ht="24" customHeight="1" spans="1:9">
      <c r="A21" s="5">
        <v>17</v>
      </c>
      <c r="B21" s="148" t="s">
        <v>58</v>
      </c>
      <c r="C21" s="5" t="s">
        <v>39</v>
      </c>
      <c r="D21" s="8">
        <v>546.72</v>
      </c>
      <c r="E21" s="8">
        <v>57</v>
      </c>
      <c r="F21" s="8">
        <f t="shared" si="0"/>
        <v>31163.04</v>
      </c>
      <c r="G21" s="8" t="s">
        <v>51</v>
      </c>
      <c r="H21" s="147"/>
      <c r="I21" s="1" t="e">
        <f>#REF!*1.1</f>
        <v>#REF!</v>
      </c>
    </row>
    <row r="22" ht="24" customHeight="1" spans="1:8">
      <c r="A22" s="5">
        <v>18</v>
      </c>
      <c r="B22" s="149" t="s">
        <v>44</v>
      </c>
      <c r="C22" s="5" t="s">
        <v>45</v>
      </c>
      <c r="D22" s="8">
        <v>82.008</v>
      </c>
      <c r="E22" s="8">
        <v>390</v>
      </c>
      <c r="F22" s="8">
        <f t="shared" si="0"/>
        <v>31983.12</v>
      </c>
      <c r="G22" s="8" t="s">
        <v>46</v>
      </c>
      <c r="H22" s="150"/>
    </row>
    <row r="23" ht="24" customHeight="1" spans="1:8">
      <c r="A23" s="5">
        <v>19</v>
      </c>
      <c r="B23" s="149" t="s">
        <v>47</v>
      </c>
      <c r="C23" s="5" t="s">
        <v>45</v>
      </c>
      <c r="D23" s="8">
        <v>82.008</v>
      </c>
      <c r="E23" s="8">
        <v>110</v>
      </c>
      <c r="F23" s="8">
        <f t="shared" si="0"/>
        <v>9020.88</v>
      </c>
      <c r="G23" s="8" t="s">
        <v>46</v>
      </c>
      <c r="H23" s="150"/>
    </row>
    <row r="24" ht="24" customHeight="1" spans="1:8">
      <c r="A24" s="5">
        <v>20</v>
      </c>
      <c r="B24" s="149" t="s">
        <v>48</v>
      </c>
      <c r="C24" s="5" t="s">
        <v>39</v>
      </c>
      <c r="D24" s="8">
        <v>546.72</v>
      </c>
      <c r="E24" s="8">
        <v>2.5</v>
      </c>
      <c r="F24" s="8">
        <f t="shared" si="0"/>
        <v>1366.8</v>
      </c>
      <c r="G24" s="8" t="s">
        <v>46</v>
      </c>
      <c r="H24" s="147"/>
    </row>
    <row r="25" ht="24" customHeight="1" spans="1:8">
      <c r="A25" s="12"/>
      <c r="B25" s="13" t="s">
        <v>59</v>
      </c>
      <c r="C25" s="12"/>
      <c r="D25" s="8"/>
      <c r="E25" s="21"/>
      <c r="F25" s="21">
        <f>SUM(F4:F24)</f>
        <v>508799.785</v>
      </c>
      <c r="G25" s="21"/>
      <c r="H25" s="147"/>
    </row>
  </sheetData>
  <sheetProtection password="C71F" sheet="1" objects="1"/>
  <autoFilter ref="A2:N25">
    <extLst/>
  </autoFilter>
  <mergeCells count="1">
    <mergeCell ref="A1:H1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3"/>
  <sheetViews>
    <sheetView workbookViewId="0">
      <pane ySplit="2" topLeftCell="A176" activePane="bottomLeft" state="frozen"/>
      <selection/>
      <selection pane="bottomLeft" activeCell="G188" sqref="G188"/>
    </sheetView>
  </sheetViews>
  <sheetFormatPr defaultColWidth="9" defaultRowHeight="14.25"/>
  <cols>
    <col min="1" max="1" width="6.46666666666667" style="1" customWidth="1"/>
    <col min="2" max="2" width="30.6" style="2" customWidth="1"/>
    <col min="3" max="3" width="6.86666666666667" style="1" customWidth="1"/>
    <col min="4" max="4" width="13.75" style="3" customWidth="1"/>
    <col min="5" max="5" width="11.75" style="3" customWidth="1"/>
    <col min="6" max="6" width="14.5" style="3" customWidth="1"/>
    <col min="7" max="8" width="15.125" style="3" customWidth="1"/>
    <col min="9" max="9" width="12.6" style="1"/>
    <col min="10" max="11" width="9" style="1"/>
    <col min="12" max="12" width="16.7333333333333" style="1" customWidth="1"/>
    <col min="13" max="13" width="9" style="1"/>
    <col min="14" max="14" width="9.4" style="1"/>
    <col min="15" max="16384" width="9" style="1"/>
  </cols>
  <sheetData>
    <row r="1" ht="50" customHeight="1" spans="1:8">
      <c r="A1" s="4" t="s">
        <v>60</v>
      </c>
      <c r="B1" s="4"/>
      <c r="C1" s="4"/>
      <c r="D1" s="4"/>
      <c r="E1" s="4"/>
      <c r="F1" s="4"/>
      <c r="G1" s="4"/>
      <c r="H1" s="126"/>
    </row>
    <row r="2" ht="35" customHeight="1" spans="1:8">
      <c r="A2" s="127" t="s">
        <v>1</v>
      </c>
      <c r="B2" s="128" t="s">
        <v>27</v>
      </c>
      <c r="C2" s="127" t="s">
        <v>28</v>
      </c>
      <c r="D2" s="129" t="s">
        <v>29</v>
      </c>
      <c r="E2" s="130" t="s">
        <v>30</v>
      </c>
      <c r="F2" s="130" t="s">
        <v>31</v>
      </c>
      <c r="G2" s="21" t="s">
        <v>6</v>
      </c>
      <c r="H2" s="131"/>
    </row>
    <row r="3" ht="24" customHeight="1" spans="1:14">
      <c r="A3" s="132"/>
      <c r="B3" s="133" t="s">
        <v>61</v>
      </c>
      <c r="C3" s="132"/>
      <c r="D3" s="8"/>
      <c r="E3" s="8"/>
      <c r="F3" s="8"/>
      <c r="G3" s="8"/>
      <c r="L3" s="139"/>
      <c r="M3" s="139"/>
      <c r="N3" s="139"/>
    </row>
    <row r="4" ht="24" customHeight="1" spans="1:14">
      <c r="A4" s="5">
        <v>1</v>
      </c>
      <c r="B4" s="92" t="s">
        <v>62</v>
      </c>
      <c r="C4" s="5" t="s">
        <v>39</v>
      </c>
      <c r="D4" s="8">
        <f>357.77-15.31+13.21+50</f>
        <v>405.67</v>
      </c>
      <c r="E4" s="8">
        <v>57</v>
      </c>
      <c r="F4" s="8">
        <f>D4*E4</f>
        <v>23123.19</v>
      </c>
      <c r="G4" s="8" t="s">
        <v>63</v>
      </c>
      <c r="L4" s="139"/>
      <c r="M4" s="139"/>
      <c r="N4" s="139"/>
    </row>
    <row r="5" ht="24" customHeight="1" spans="1:14">
      <c r="A5" s="5">
        <v>2</v>
      </c>
      <c r="B5" s="92" t="s">
        <v>64</v>
      </c>
      <c r="C5" s="5" t="s">
        <v>39</v>
      </c>
      <c r="D5" s="8">
        <f>165.55-7.94+6.88</f>
        <v>164.49</v>
      </c>
      <c r="E5" s="8">
        <v>57</v>
      </c>
      <c r="F5" s="8">
        <f t="shared" ref="F5:F40" si="0">D5*E5</f>
        <v>9375.93</v>
      </c>
      <c r="G5" s="8" t="s">
        <v>63</v>
      </c>
      <c r="L5" s="139"/>
      <c r="M5" s="139"/>
      <c r="N5" s="139"/>
    </row>
    <row r="6" ht="24" customHeight="1" spans="1:14">
      <c r="A6" s="5">
        <v>3</v>
      </c>
      <c r="B6" s="92" t="s">
        <v>65</v>
      </c>
      <c r="C6" s="5" t="s">
        <v>39</v>
      </c>
      <c r="D6" s="8">
        <f>681.5-(33.95+2.3)+27.55</f>
        <v>672.8</v>
      </c>
      <c r="E6" s="8">
        <v>57</v>
      </c>
      <c r="F6" s="8">
        <f t="shared" si="0"/>
        <v>38349.6</v>
      </c>
      <c r="G6" s="8" t="s">
        <v>63</v>
      </c>
      <c r="L6" s="139"/>
      <c r="M6" s="139"/>
      <c r="N6" s="139"/>
    </row>
    <row r="7" ht="24" customHeight="1" spans="1:7">
      <c r="A7" s="5">
        <v>4</v>
      </c>
      <c r="B7" s="82" t="s">
        <v>66</v>
      </c>
      <c r="C7" s="5" t="s">
        <v>45</v>
      </c>
      <c r="D7" s="8">
        <f>D9*0.1</f>
        <v>124.296</v>
      </c>
      <c r="E7" s="8">
        <v>380</v>
      </c>
      <c r="F7" s="8">
        <f t="shared" si="0"/>
        <v>47232.48</v>
      </c>
      <c r="G7" s="8" t="s">
        <v>46</v>
      </c>
    </row>
    <row r="8" ht="24" customHeight="1" spans="1:7">
      <c r="A8" s="5">
        <v>5</v>
      </c>
      <c r="B8" s="82" t="s">
        <v>67</v>
      </c>
      <c r="C8" s="5" t="s">
        <v>45</v>
      </c>
      <c r="D8" s="8">
        <f>D9*0.1</f>
        <v>124.296</v>
      </c>
      <c r="E8" s="8">
        <v>110</v>
      </c>
      <c r="F8" s="8">
        <f t="shared" si="0"/>
        <v>13672.56</v>
      </c>
      <c r="G8" s="8" t="s">
        <v>46</v>
      </c>
    </row>
    <row r="9" ht="24" customHeight="1" spans="1:7">
      <c r="A9" s="5">
        <v>6</v>
      </c>
      <c r="B9" s="82" t="s">
        <v>68</v>
      </c>
      <c r="C9" s="5" t="s">
        <v>39</v>
      </c>
      <c r="D9" s="8">
        <f>D4+D5+D6</f>
        <v>1242.96</v>
      </c>
      <c r="E9" s="8">
        <v>2.5</v>
      </c>
      <c r="F9" s="8">
        <f t="shared" si="0"/>
        <v>3107.4</v>
      </c>
      <c r="G9" s="8" t="s">
        <v>46</v>
      </c>
    </row>
    <row r="10" ht="24" customHeight="1" spans="1:7">
      <c r="A10" s="132"/>
      <c r="B10" s="133" t="s">
        <v>69</v>
      </c>
      <c r="C10" s="132"/>
      <c r="D10" s="8"/>
      <c r="E10" s="8"/>
      <c r="F10" s="8"/>
      <c r="G10" s="8"/>
    </row>
    <row r="11" ht="24" customHeight="1" spans="1:7">
      <c r="A11" s="5">
        <v>7</v>
      </c>
      <c r="B11" s="92" t="s">
        <v>65</v>
      </c>
      <c r="C11" s="5" t="s">
        <v>39</v>
      </c>
      <c r="D11" s="8">
        <f>62.15-16.68+7.91</f>
        <v>53.38</v>
      </c>
      <c r="E11" s="8">
        <v>57</v>
      </c>
      <c r="F11" s="8">
        <f t="shared" si="0"/>
        <v>3042.66</v>
      </c>
      <c r="G11" s="8" t="s">
        <v>63</v>
      </c>
    </row>
    <row r="12" ht="24" customHeight="1" spans="1:7">
      <c r="A12" s="5">
        <v>8</v>
      </c>
      <c r="B12" s="92" t="s">
        <v>70</v>
      </c>
      <c r="C12" s="5" t="s">
        <v>39</v>
      </c>
      <c r="D12" s="8">
        <f>25.58-(22.72-16.68)+(11.1-7.91)</f>
        <v>22.73</v>
      </c>
      <c r="E12" s="8">
        <v>57</v>
      </c>
      <c r="F12" s="8">
        <f t="shared" si="0"/>
        <v>1295.61</v>
      </c>
      <c r="G12" s="8" t="s">
        <v>63</v>
      </c>
    </row>
    <row r="13" ht="24" customHeight="1" spans="1:7">
      <c r="A13" s="5">
        <v>9</v>
      </c>
      <c r="B13" s="82" t="s">
        <v>66</v>
      </c>
      <c r="C13" s="5" t="s">
        <v>45</v>
      </c>
      <c r="D13" s="8">
        <f>D15*0.1</f>
        <v>7.611</v>
      </c>
      <c r="E13" s="8">
        <v>380</v>
      </c>
      <c r="F13" s="8">
        <f t="shared" si="0"/>
        <v>2892.18</v>
      </c>
      <c r="G13" s="8" t="s">
        <v>46</v>
      </c>
    </row>
    <row r="14" ht="24" customHeight="1" spans="1:7">
      <c r="A14" s="5">
        <v>10</v>
      </c>
      <c r="B14" s="82" t="s">
        <v>67</v>
      </c>
      <c r="C14" s="5" t="s">
        <v>45</v>
      </c>
      <c r="D14" s="8">
        <f>D15*0.1</f>
        <v>7.611</v>
      </c>
      <c r="E14" s="8">
        <v>110</v>
      </c>
      <c r="F14" s="8">
        <f t="shared" si="0"/>
        <v>837.21</v>
      </c>
      <c r="G14" s="8" t="s">
        <v>46</v>
      </c>
    </row>
    <row r="15" ht="24" customHeight="1" spans="1:7">
      <c r="A15" s="5">
        <v>11</v>
      </c>
      <c r="B15" s="82" t="s">
        <v>68</v>
      </c>
      <c r="C15" s="5" t="s">
        <v>39</v>
      </c>
      <c r="D15" s="8">
        <f>D11+D12</f>
        <v>76.11</v>
      </c>
      <c r="E15" s="8">
        <v>2.5</v>
      </c>
      <c r="F15" s="8">
        <f t="shared" si="0"/>
        <v>190.275</v>
      </c>
      <c r="G15" s="8" t="s">
        <v>46</v>
      </c>
    </row>
    <row r="16" ht="24" customHeight="1" spans="1:7">
      <c r="A16" s="132"/>
      <c r="B16" s="133" t="s">
        <v>71</v>
      </c>
      <c r="C16" s="132"/>
      <c r="D16" s="8"/>
      <c r="E16" s="8"/>
      <c r="F16" s="8"/>
      <c r="G16" s="8"/>
    </row>
    <row r="17" ht="24" customHeight="1" spans="1:7">
      <c r="A17" s="5">
        <v>13</v>
      </c>
      <c r="B17" s="92" t="s">
        <v>62</v>
      </c>
      <c r="C17" s="5" t="s">
        <v>39</v>
      </c>
      <c r="D17" s="8">
        <f>(19.71+16.7+33.5+27.11+15.67+12.98+37.44)*0.2516</f>
        <v>41.038476</v>
      </c>
      <c r="E17" s="8">
        <v>57</v>
      </c>
      <c r="F17" s="8">
        <f t="shared" si="0"/>
        <v>2339.193132</v>
      </c>
      <c r="G17" s="8" t="s">
        <v>63</v>
      </c>
    </row>
    <row r="18" ht="24" customHeight="1" spans="1:7">
      <c r="A18" s="5">
        <v>14</v>
      </c>
      <c r="B18" s="92" t="s">
        <v>64</v>
      </c>
      <c r="C18" s="5" t="s">
        <v>39</v>
      </c>
      <c r="D18" s="8">
        <f>(19.71+16.7+33.5+27.11+15.67+12.98+37.44)*0.1161</f>
        <v>18.937071</v>
      </c>
      <c r="E18" s="8">
        <v>57</v>
      </c>
      <c r="F18" s="8">
        <f t="shared" si="0"/>
        <v>1079.413047</v>
      </c>
      <c r="G18" s="8" t="s">
        <v>63</v>
      </c>
    </row>
    <row r="19" ht="24" customHeight="1" spans="1:7">
      <c r="A19" s="5">
        <v>15</v>
      </c>
      <c r="B19" s="92" t="s">
        <v>65</v>
      </c>
      <c r="C19" s="5" t="s">
        <v>39</v>
      </c>
      <c r="D19" s="8">
        <f>(19.71+16.7+33.5+27.11+15.67+12.98+37.44)*0.323</f>
        <v>52.68453</v>
      </c>
      <c r="E19" s="8">
        <v>57</v>
      </c>
      <c r="F19" s="8">
        <f t="shared" si="0"/>
        <v>3003.01821</v>
      </c>
      <c r="G19" s="8" t="s">
        <v>63</v>
      </c>
    </row>
    <row r="20" ht="24" customHeight="1" spans="1:7">
      <c r="A20" s="5">
        <v>16</v>
      </c>
      <c r="B20" s="82" t="s">
        <v>66</v>
      </c>
      <c r="C20" s="5" t="s">
        <v>45</v>
      </c>
      <c r="D20" s="8">
        <f>D22*0.1</f>
        <v>11.2660077</v>
      </c>
      <c r="E20" s="8">
        <v>380</v>
      </c>
      <c r="F20" s="8">
        <f t="shared" si="0"/>
        <v>4281.082926</v>
      </c>
      <c r="G20" s="8" t="s">
        <v>46</v>
      </c>
    </row>
    <row r="21" ht="24" customHeight="1" spans="1:7">
      <c r="A21" s="5">
        <v>17</v>
      </c>
      <c r="B21" s="82" t="s">
        <v>67</v>
      </c>
      <c r="C21" s="5" t="s">
        <v>45</v>
      </c>
      <c r="D21" s="8">
        <f>D22*0.1</f>
        <v>11.2660077</v>
      </c>
      <c r="E21" s="8">
        <v>110</v>
      </c>
      <c r="F21" s="8">
        <f t="shared" si="0"/>
        <v>1239.260847</v>
      </c>
      <c r="G21" s="8" t="s">
        <v>46</v>
      </c>
    </row>
    <row r="22" ht="24" customHeight="1" spans="1:7">
      <c r="A22" s="5">
        <v>18</v>
      </c>
      <c r="B22" s="82" t="s">
        <v>68</v>
      </c>
      <c r="C22" s="5" t="s">
        <v>39</v>
      </c>
      <c r="D22" s="8">
        <f>D17+D18+D19</f>
        <v>112.660077</v>
      </c>
      <c r="E22" s="8">
        <v>2.5</v>
      </c>
      <c r="F22" s="8">
        <f t="shared" si="0"/>
        <v>281.6501925</v>
      </c>
      <c r="G22" s="8" t="s">
        <v>46</v>
      </c>
    </row>
    <row r="23" ht="24" customHeight="1" spans="1:7">
      <c r="A23" s="132"/>
      <c r="B23" s="134" t="s">
        <v>72</v>
      </c>
      <c r="C23" s="135"/>
      <c r="D23" s="136"/>
      <c r="E23" s="8"/>
      <c r="F23" s="8"/>
      <c r="G23" s="8"/>
    </row>
    <row r="24" ht="24" customHeight="1" spans="1:7">
      <c r="A24" s="5"/>
      <c r="B24" s="11" t="s">
        <v>73</v>
      </c>
      <c r="C24" s="5" t="s">
        <v>39</v>
      </c>
      <c r="D24" s="8"/>
      <c r="E24" s="8"/>
      <c r="F24" s="8"/>
      <c r="G24" s="8"/>
    </row>
    <row r="25" ht="24" customHeight="1" spans="1:7">
      <c r="A25" s="5">
        <v>19</v>
      </c>
      <c r="B25" s="82" t="s">
        <v>74</v>
      </c>
      <c r="C25" s="5" t="s">
        <v>39</v>
      </c>
      <c r="D25" s="8">
        <f>9.11+5.84+7.86+0.67+1.31-2.85-1.43+1.89+3.48</f>
        <v>25.88</v>
      </c>
      <c r="E25" s="8">
        <v>145</v>
      </c>
      <c r="F25" s="8">
        <f t="shared" si="0"/>
        <v>3752.6</v>
      </c>
      <c r="G25" s="8" t="s">
        <v>46</v>
      </c>
    </row>
    <row r="26" ht="24" customHeight="1" spans="1:7">
      <c r="A26" s="5">
        <v>20</v>
      </c>
      <c r="B26" s="82" t="s">
        <v>75</v>
      </c>
      <c r="C26" s="5" t="s">
        <v>39</v>
      </c>
      <c r="D26" s="8">
        <f>8.21+1.22+6.07+8.15+26.8+60.39+8.45+1.43+2.85-0.88-0.58-0.73-1.2-0.02-1.89-3.48</f>
        <v>114.79</v>
      </c>
      <c r="E26" s="8">
        <v>145</v>
      </c>
      <c r="F26" s="8">
        <f t="shared" si="0"/>
        <v>16644.55</v>
      </c>
      <c r="G26" s="8" t="s">
        <v>46</v>
      </c>
    </row>
    <row r="27" ht="24" customHeight="1" spans="1:7">
      <c r="A27" s="5">
        <v>21</v>
      </c>
      <c r="B27" s="82" t="s">
        <v>76</v>
      </c>
      <c r="C27" s="5" t="s">
        <v>39</v>
      </c>
      <c r="D27" s="8">
        <f>34.92+88.42+8.85+1.4+0.93+0.88+0.58+5.61+7.76+26.57</f>
        <v>175.92</v>
      </c>
      <c r="E27" s="8">
        <v>145</v>
      </c>
      <c r="F27" s="8">
        <f t="shared" si="0"/>
        <v>25508.4</v>
      </c>
      <c r="G27" s="8" t="s">
        <v>46</v>
      </c>
    </row>
    <row r="28" ht="24" customHeight="1" spans="1:7">
      <c r="A28" s="5">
        <v>22</v>
      </c>
      <c r="B28" s="82" t="s">
        <v>77</v>
      </c>
      <c r="C28" s="5" t="s">
        <v>39</v>
      </c>
      <c r="D28" s="8">
        <f>0.043+0.021+0.022</f>
        <v>0.086</v>
      </c>
      <c r="E28" s="8">
        <v>145</v>
      </c>
      <c r="F28" s="8">
        <f t="shared" si="0"/>
        <v>12.47</v>
      </c>
      <c r="G28" s="8" t="s">
        <v>46</v>
      </c>
    </row>
    <row r="29" ht="24" customHeight="1" spans="1:7">
      <c r="A29" s="5">
        <v>23</v>
      </c>
      <c r="B29" s="82" t="s">
        <v>78</v>
      </c>
      <c r="C29" s="5" t="s">
        <v>39</v>
      </c>
      <c r="D29" s="8">
        <f>4.96+0.65+0.76+2.5+2.07+2.23+2.69+1.82+1.41</f>
        <v>19.09</v>
      </c>
      <c r="E29" s="8">
        <v>145</v>
      </c>
      <c r="F29" s="8">
        <f t="shared" si="0"/>
        <v>2768.05</v>
      </c>
      <c r="G29" s="8" t="s">
        <v>46</v>
      </c>
    </row>
    <row r="30" ht="30" customHeight="1" spans="1:7">
      <c r="A30" s="5">
        <v>24</v>
      </c>
      <c r="B30" s="82" t="s">
        <v>79</v>
      </c>
      <c r="C30" s="5" t="s">
        <v>39</v>
      </c>
      <c r="D30" s="8">
        <f>29.07-23.05+27.66*0.2+9.6*0.2+21.3*0.2</f>
        <v>17.732</v>
      </c>
      <c r="E30" s="8">
        <v>57</v>
      </c>
      <c r="F30" s="8">
        <f t="shared" si="0"/>
        <v>1010.724</v>
      </c>
      <c r="G30" s="8" t="s">
        <v>63</v>
      </c>
    </row>
    <row r="31" ht="24" customHeight="1" spans="1:7">
      <c r="A31" s="5">
        <v>25</v>
      </c>
      <c r="B31" s="82" t="s">
        <v>66</v>
      </c>
      <c r="C31" s="5" t="s">
        <v>45</v>
      </c>
      <c r="D31" s="8">
        <f>D33*0.1</f>
        <v>35.318</v>
      </c>
      <c r="E31" s="8">
        <v>380</v>
      </c>
      <c r="F31" s="8">
        <f t="shared" si="0"/>
        <v>13420.84</v>
      </c>
      <c r="G31" s="8" t="s">
        <v>46</v>
      </c>
    </row>
    <row r="32" ht="24" customHeight="1" spans="1:7">
      <c r="A32" s="5">
        <v>26</v>
      </c>
      <c r="B32" s="82" t="s">
        <v>67</v>
      </c>
      <c r="C32" s="5" t="s">
        <v>45</v>
      </c>
      <c r="D32" s="8">
        <f>D33*0.1</f>
        <v>35.318</v>
      </c>
      <c r="E32" s="8">
        <v>110</v>
      </c>
      <c r="F32" s="8">
        <f t="shared" si="0"/>
        <v>3884.98</v>
      </c>
      <c r="G32" s="8" t="s">
        <v>46</v>
      </c>
    </row>
    <row r="33" ht="24" customHeight="1" spans="1:7">
      <c r="A33" s="5">
        <v>27</v>
      </c>
      <c r="B33" s="82" t="s">
        <v>68</v>
      </c>
      <c r="C33" s="5" t="s">
        <v>39</v>
      </c>
      <c r="D33" s="8">
        <f>313.69+80.46-11.9-29.07</f>
        <v>353.18</v>
      </c>
      <c r="E33" s="8">
        <v>2.5</v>
      </c>
      <c r="F33" s="8">
        <f t="shared" si="0"/>
        <v>882.95</v>
      </c>
      <c r="G33" s="8" t="s">
        <v>46</v>
      </c>
    </row>
    <row r="34" ht="24" customHeight="1" spans="1:7">
      <c r="A34" s="132"/>
      <c r="B34" s="134" t="s">
        <v>80</v>
      </c>
      <c r="C34" s="132"/>
      <c r="D34" s="8"/>
      <c r="E34" s="8"/>
      <c r="F34" s="8"/>
      <c r="G34" s="8"/>
    </row>
    <row r="35" ht="24" customHeight="1" spans="1:7">
      <c r="A35" s="5">
        <v>28</v>
      </c>
      <c r="B35" s="82" t="s">
        <v>81</v>
      </c>
      <c r="C35" s="5" t="s">
        <v>39</v>
      </c>
      <c r="D35" s="8">
        <f>122*0.6*0.2</f>
        <v>14.64</v>
      </c>
      <c r="E35" s="8">
        <v>57</v>
      </c>
      <c r="F35" s="8">
        <f t="shared" si="0"/>
        <v>834.48</v>
      </c>
      <c r="G35" s="8" t="s">
        <v>63</v>
      </c>
    </row>
    <row r="36" ht="24" customHeight="1" spans="1:7">
      <c r="A36" s="5">
        <v>29</v>
      </c>
      <c r="B36" s="82" t="s">
        <v>82</v>
      </c>
      <c r="C36" s="5" t="s">
        <v>39</v>
      </c>
      <c r="D36" s="8">
        <f>167.5-D35-5.38</f>
        <v>147.48</v>
      </c>
      <c r="E36" s="8">
        <v>57</v>
      </c>
      <c r="F36" s="8">
        <f t="shared" si="0"/>
        <v>8406.36</v>
      </c>
      <c r="G36" s="8" t="s">
        <v>63</v>
      </c>
    </row>
    <row r="37" ht="35" customHeight="1" spans="1:7">
      <c r="A37" s="5">
        <v>30</v>
      </c>
      <c r="B37" s="11" t="s">
        <v>79</v>
      </c>
      <c r="C37" s="5" t="s">
        <v>39</v>
      </c>
      <c r="D37" s="8">
        <f>131.4*0.2+7.7*0.2</f>
        <v>27.82</v>
      </c>
      <c r="E37" s="8">
        <v>57</v>
      </c>
      <c r="F37" s="8">
        <f t="shared" si="0"/>
        <v>1585.74</v>
      </c>
      <c r="G37" s="8" t="s">
        <v>63</v>
      </c>
    </row>
    <row r="38" ht="24" customHeight="1" spans="1:7">
      <c r="A38" s="5">
        <v>31</v>
      </c>
      <c r="B38" s="82" t="s">
        <v>78</v>
      </c>
      <c r="C38" s="5" t="s">
        <v>39</v>
      </c>
      <c r="D38" s="8">
        <f>56.19-53.36</f>
        <v>2.83</v>
      </c>
      <c r="E38" s="8">
        <v>220</v>
      </c>
      <c r="F38" s="8">
        <f t="shared" si="0"/>
        <v>622.6</v>
      </c>
      <c r="G38" s="8" t="s">
        <v>46</v>
      </c>
    </row>
    <row r="39" ht="24" customHeight="1" spans="1:7">
      <c r="A39" s="5">
        <v>32</v>
      </c>
      <c r="B39" s="82" t="s">
        <v>76</v>
      </c>
      <c r="C39" s="5" t="s">
        <v>39</v>
      </c>
      <c r="D39" s="8">
        <f>53.36-6.44</f>
        <v>46.92</v>
      </c>
      <c r="E39" s="8">
        <v>145</v>
      </c>
      <c r="F39" s="8">
        <f t="shared" si="0"/>
        <v>6803.4</v>
      </c>
      <c r="G39" s="8" t="s">
        <v>46</v>
      </c>
    </row>
    <row r="40" ht="24" customHeight="1" spans="1:7">
      <c r="A40" s="5">
        <v>33</v>
      </c>
      <c r="B40" s="82" t="s">
        <v>75</v>
      </c>
      <c r="C40" s="5" t="s">
        <v>39</v>
      </c>
      <c r="D40" s="8">
        <f>120.6-56.19</f>
        <v>64.41</v>
      </c>
      <c r="E40" s="8">
        <v>145</v>
      </c>
      <c r="F40" s="8">
        <f t="shared" si="0"/>
        <v>9339.45</v>
      </c>
      <c r="G40" s="8" t="s">
        <v>46</v>
      </c>
    </row>
    <row r="41" ht="24" customHeight="1" spans="1:7">
      <c r="A41" s="5">
        <v>34</v>
      </c>
      <c r="B41" s="82" t="s">
        <v>66</v>
      </c>
      <c r="C41" s="5" t="s">
        <v>45</v>
      </c>
      <c r="D41" s="8">
        <f>D43*0.1</f>
        <v>30.41</v>
      </c>
      <c r="E41" s="8">
        <v>380</v>
      </c>
      <c r="F41" s="8">
        <f t="shared" ref="F41:F67" si="1">D41*E41</f>
        <v>11555.8</v>
      </c>
      <c r="G41" s="8" t="s">
        <v>46</v>
      </c>
    </row>
    <row r="42" ht="24" customHeight="1" spans="1:7">
      <c r="A42" s="5">
        <v>35</v>
      </c>
      <c r="B42" s="82" t="s">
        <v>67</v>
      </c>
      <c r="C42" s="5" t="s">
        <v>45</v>
      </c>
      <c r="D42" s="8">
        <f>D43*0.1</f>
        <v>30.41</v>
      </c>
      <c r="E42" s="8">
        <v>110</v>
      </c>
      <c r="F42" s="8">
        <f t="shared" si="1"/>
        <v>3345.1</v>
      </c>
      <c r="G42" s="8" t="s">
        <v>46</v>
      </c>
    </row>
    <row r="43" ht="24" customHeight="1" spans="1:7">
      <c r="A43" s="5">
        <v>36</v>
      </c>
      <c r="B43" s="82" t="s">
        <v>68</v>
      </c>
      <c r="C43" s="5" t="s">
        <v>39</v>
      </c>
      <c r="D43" s="8">
        <f>SUM(D35:D40)</f>
        <v>304.1</v>
      </c>
      <c r="E43" s="8">
        <v>2.5</v>
      </c>
      <c r="F43" s="8">
        <f t="shared" si="1"/>
        <v>760.25</v>
      </c>
      <c r="G43" s="8" t="s">
        <v>46</v>
      </c>
    </row>
    <row r="44" ht="24" customHeight="1" spans="1:7">
      <c r="A44" s="132"/>
      <c r="B44" s="134" t="s">
        <v>83</v>
      </c>
      <c r="C44" s="132"/>
      <c r="D44" s="8"/>
      <c r="E44" s="8"/>
      <c r="F44" s="8"/>
      <c r="G44" s="8"/>
    </row>
    <row r="45" ht="34" customHeight="1" spans="1:7">
      <c r="A45" s="5">
        <v>37</v>
      </c>
      <c r="B45" s="82" t="s">
        <v>79</v>
      </c>
      <c r="C45" s="5" t="s">
        <v>39</v>
      </c>
      <c r="D45" s="8">
        <f>24.24+47.08-41.28</f>
        <v>30.04</v>
      </c>
      <c r="E45" s="8">
        <v>57</v>
      </c>
      <c r="F45" s="8">
        <f t="shared" si="1"/>
        <v>1712.28</v>
      </c>
      <c r="G45" s="8" t="s">
        <v>63</v>
      </c>
    </row>
    <row r="46" ht="24" customHeight="1" spans="1:7">
      <c r="A46" s="5">
        <v>38</v>
      </c>
      <c r="B46" s="82" t="s">
        <v>76</v>
      </c>
      <c r="C46" s="5" t="s">
        <v>39</v>
      </c>
      <c r="D46" s="8">
        <f>22.06+423.4-369.4+0.18+0.54</f>
        <v>76.78</v>
      </c>
      <c r="E46" s="8">
        <v>145</v>
      </c>
      <c r="F46" s="8">
        <f t="shared" si="1"/>
        <v>11133.1</v>
      </c>
      <c r="G46" s="8" t="s">
        <v>46</v>
      </c>
    </row>
    <row r="47" ht="24" customHeight="1" spans="1:7">
      <c r="A47" s="5">
        <v>39</v>
      </c>
      <c r="B47" s="82" t="s">
        <v>75</v>
      </c>
      <c r="C47" s="5" t="s">
        <v>39</v>
      </c>
      <c r="D47" s="8">
        <f>360.6-66.98-96.16-2.27-1.34-1.79-0.86-0.41-11.57+9.98-24.23+49.54+36.18+87.24+51.3+2.67</f>
        <v>391.9</v>
      </c>
      <c r="E47" s="8">
        <v>145</v>
      </c>
      <c r="F47" s="8">
        <f t="shared" si="1"/>
        <v>56825.5</v>
      </c>
      <c r="G47" s="8" t="s">
        <v>46</v>
      </c>
    </row>
    <row r="48" ht="24" customHeight="1" spans="1:7">
      <c r="A48" s="5">
        <v>40</v>
      </c>
      <c r="B48" s="82" t="s">
        <v>84</v>
      </c>
      <c r="C48" s="5" t="s">
        <v>39</v>
      </c>
      <c r="D48" s="8">
        <f>31.88+13.73-6.24+1.76</f>
        <v>41.13</v>
      </c>
      <c r="E48" s="8">
        <v>145</v>
      </c>
      <c r="F48" s="8">
        <f t="shared" si="1"/>
        <v>5963.85</v>
      </c>
      <c r="G48" s="8" t="s">
        <v>46</v>
      </c>
    </row>
    <row r="49" ht="24" customHeight="1" spans="1:7">
      <c r="A49" s="5">
        <v>41</v>
      </c>
      <c r="B49" s="82" t="s">
        <v>85</v>
      </c>
      <c r="C49" s="5" t="s">
        <v>39</v>
      </c>
      <c r="D49" s="8">
        <f>62.36-36+24.23-13.73+1.31</f>
        <v>38.17</v>
      </c>
      <c r="E49" s="8">
        <v>145</v>
      </c>
      <c r="F49" s="8">
        <f t="shared" si="1"/>
        <v>5534.65</v>
      </c>
      <c r="G49" s="8" t="s">
        <v>46</v>
      </c>
    </row>
    <row r="50" ht="24" customHeight="1" spans="1:7">
      <c r="A50" s="5">
        <v>42</v>
      </c>
      <c r="B50" s="82" t="s">
        <v>86</v>
      </c>
      <c r="C50" s="5" t="s">
        <v>39</v>
      </c>
      <c r="D50" s="8">
        <f>6.24+0.94</f>
        <v>7.18</v>
      </c>
      <c r="E50" s="8">
        <v>145</v>
      </c>
      <c r="F50" s="8">
        <f t="shared" si="1"/>
        <v>1041.1</v>
      </c>
      <c r="G50" s="8" t="s">
        <v>46</v>
      </c>
    </row>
    <row r="51" ht="24" customHeight="1" spans="1:7">
      <c r="A51" s="5">
        <v>43</v>
      </c>
      <c r="B51" s="82" t="s">
        <v>78</v>
      </c>
      <c r="C51" s="5" t="s">
        <v>39</v>
      </c>
      <c r="D51" s="8">
        <f>2.27-1.76+36-31.88+1.34-0.94+2.27-1.76+66.98-62.63+1.79-1.31+11.57-9.98+2.38-91.63+96.16+369.39-360.61+0.41-0.18+0.86-0.54+0.3+0.45</f>
        <v>28.95</v>
      </c>
      <c r="E51" s="8">
        <v>145</v>
      </c>
      <c r="F51" s="8">
        <f t="shared" si="1"/>
        <v>4197.75</v>
      </c>
      <c r="G51" s="8" t="s">
        <v>46</v>
      </c>
    </row>
    <row r="52" ht="24" customHeight="1" spans="1:7">
      <c r="A52" s="5">
        <v>44</v>
      </c>
      <c r="B52" s="82" t="s">
        <v>87</v>
      </c>
      <c r="C52" s="5" t="s">
        <v>39</v>
      </c>
      <c r="D52" s="8">
        <f>SUM(D45:D51)</f>
        <v>614.15</v>
      </c>
      <c r="E52" s="8">
        <v>15</v>
      </c>
      <c r="F52" s="8">
        <f t="shared" si="1"/>
        <v>9212.25</v>
      </c>
      <c r="G52" s="8" t="s">
        <v>46</v>
      </c>
    </row>
    <row r="53" ht="24" customHeight="1" spans="1:7">
      <c r="A53" s="5">
        <v>45</v>
      </c>
      <c r="B53" s="82" t="s">
        <v>66</v>
      </c>
      <c r="C53" s="5" t="s">
        <v>45</v>
      </c>
      <c r="D53" s="8">
        <f>0.1*D55</f>
        <v>61.415</v>
      </c>
      <c r="E53" s="8">
        <v>380</v>
      </c>
      <c r="F53" s="8">
        <f t="shared" si="1"/>
        <v>23337.7</v>
      </c>
      <c r="G53" s="8" t="s">
        <v>46</v>
      </c>
    </row>
    <row r="54" ht="24" customHeight="1" spans="1:7">
      <c r="A54" s="5">
        <v>46</v>
      </c>
      <c r="B54" s="82" t="s">
        <v>67</v>
      </c>
      <c r="C54" s="5" t="s">
        <v>45</v>
      </c>
      <c r="D54" s="8">
        <f>0.1*D55</f>
        <v>61.415</v>
      </c>
      <c r="E54" s="8">
        <v>110</v>
      </c>
      <c r="F54" s="8">
        <f t="shared" si="1"/>
        <v>6755.65</v>
      </c>
      <c r="G54" s="8" t="s">
        <v>46</v>
      </c>
    </row>
    <row r="55" ht="24" customHeight="1" spans="1:7">
      <c r="A55" s="5">
        <v>47</v>
      </c>
      <c r="B55" s="82" t="s">
        <v>68</v>
      </c>
      <c r="C55" s="5" t="s">
        <v>39</v>
      </c>
      <c r="D55" s="8">
        <f>SUM(D45:D51)</f>
        <v>614.15</v>
      </c>
      <c r="E55" s="8">
        <v>2.5</v>
      </c>
      <c r="F55" s="8">
        <f t="shared" si="1"/>
        <v>1535.375</v>
      </c>
      <c r="G55" s="8" t="s">
        <v>46</v>
      </c>
    </row>
    <row r="56" ht="24" customHeight="1" spans="1:7">
      <c r="A56" s="137"/>
      <c r="B56" s="138" t="s">
        <v>88</v>
      </c>
      <c r="C56" s="137"/>
      <c r="D56" s="8"/>
      <c r="E56" s="8"/>
      <c r="F56" s="8"/>
      <c r="G56" s="8"/>
    </row>
    <row r="57" ht="24" customHeight="1" spans="1:7">
      <c r="A57" s="132"/>
      <c r="B57" s="134" t="s">
        <v>89</v>
      </c>
      <c r="C57" s="132"/>
      <c r="D57" s="8"/>
      <c r="E57" s="8"/>
      <c r="F57" s="8"/>
      <c r="G57" s="8"/>
    </row>
    <row r="58" ht="24" customHeight="1" spans="1:7">
      <c r="A58" s="5">
        <v>48</v>
      </c>
      <c r="B58" s="82" t="s">
        <v>82</v>
      </c>
      <c r="C58" s="5" t="s">
        <v>39</v>
      </c>
      <c r="D58" s="8">
        <f>0.6*0.2*(8*13+15+27+28+41+27+27+25)</f>
        <v>35.28</v>
      </c>
      <c r="E58" s="8">
        <v>57</v>
      </c>
      <c r="F58" s="8">
        <f t="shared" si="1"/>
        <v>2010.96</v>
      </c>
      <c r="G58" s="8" t="s">
        <v>63</v>
      </c>
    </row>
    <row r="59" ht="24" customHeight="1" spans="1:7">
      <c r="A59" s="5">
        <v>49</v>
      </c>
      <c r="B59" s="82" t="s">
        <v>90</v>
      </c>
      <c r="C59" s="5" t="s">
        <v>39</v>
      </c>
      <c r="D59" s="8">
        <f>461.8-D58-D60</f>
        <v>81.48</v>
      </c>
      <c r="E59" s="8">
        <v>57</v>
      </c>
      <c r="F59" s="8">
        <f t="shared" si="1"/>
        <v>4644.36</v>
      </c>
      <c r="G59" s="8" t="s">
        <v>63</v>
      </c>
    </row>
    <row r="60" ht="24" customHeight="1" spans="1:7">
      <c r="A60" s="5">
        <v>50</v>
      </c>
      <c r="B60" s="82" t="s">
        <v>91</v>
      </c>
      <c r="C60" s="5" t="s">
        <v>39</v>
      </c>
      <c r="D60" s="8">
        <f>29.42+55.64+55.64+84.41+55.63+55.64+43.94-D58</f>
        <v>345.04</v>
      </c>
      <c r="E60" s="8">
        <v>57</v>
      </c>
      <c r="F60" s="8">
        <f t="shared" si="1"/>
        <v>19667.28</v>
      </c>
      <c r="G60" s="8" t="s">
        <v>63</v>
      </c>
    </row>
    <row r="61" ht="24" customHeight="1" spans="1:7">
      <c r="A61" s="5">
        <v>51</v>
      </c>
      <c r="B61" s="82" t="s">
        <v>62</v>
      </c>
      <c r="C61" s="5" t="s">
        <v>39</v>
      </c>
      <c r="D61" s="8">
        <v>9.41</v>
      </c>
      <c r="E61" s="8">
        <v>57</v>
      </c>
      <c r="F61" s="8">
        <f t="shared" si="1"/>
        <v>536.37</v>
      </c>
      <c r="G61" s="8" t="s">
        <v>63</v>
      </c>
    </row>
    <row r="62" ht="24" customHeight="1" spans="1:7">
      <c r="A62" s="5">
        <v>52</v>
      </c>
      <c r="B62" s="82" t="s">
        <v>66</v>
      </c>
      <c r="C62" s="5" t="s">
        <v>45</v>
      </c>
      <c r="D62" s="8">
        <f>0.1*D64</f>
        <v>47.121</v>
      </c>
      <c r="E62" s="8">
        <v>380</v>
      </c>
      <c r="F62" s="8">
        <f t="shared" si="1"/>
        <v>17905.98</v>
      </c>
      <c r="G62" s="8" t="s">
        <v>46</v>
      </c>
    </row>
    <row r="63" ht="24" customHeight="1" spans="1:7">
      <c r="A63" s="5">
        <v>53</v>
      </c>
      <c r="B63" s="82" t="s">
        <v>67</v>
      </c>
      <c r="C63" s="5" t="s">
        <v>45</v>
      </c>
      <c r="D63" s="8">
        <f>0.1*D64</f>
        <v>47.121</v>
      </c>
      <c r="E63" s="8">
        <v>110</v>
      </c>
      <c r="F63" s="8">
        <f t="shared" si="1"/>
        <v>5183.31</v>
      </c>
      <c r="G63" s="8" t="s">
        <v>46</v>
      </c>
    </row>
    <row r="64" ht="24" customHeight="1" spans="1:7">
      <c r="A64" s="5">
        <v>54</v>
      </c>
      <c r="B64" s="82" t="s">
        <v>68</v>
      </c>
      <c r="C64" s="5" t="s">
        <v>39</v>
      </c>
      <c r="D64" s="8">
        <f>SUM(D58:D61)</f>
        <v>471.21</v>
      </c>
      <c r="E64" s="8">
        <v>2.5</v>
      </c>
      <c r="F64" s="8">
        <f t="shared" si="1"/>
        <v>1178.025</v>
      </c>
      <c r="G64" s="8" t="s">
        <v>46</v>
      </c>
    </row>
    <row r="65" ht="24" customHeight="1" spans="1:7">
      <c r="A65" s="132"/>
      <c r="B65" s="134" t="s">
        <v>92</v>
      </c>
      <c r="C65" s="132"/>
      <c r="D65" s="8"/>
      <c r="E65" s="8"/>
      <c r="F65" s="8"/>
      <c r="G65" s="8"/>
    </row>
    <row r="66" ht="24" customHeight="1" spans="1:7">
      <c r="A66" s="5">
        <v>55</v>
      </c>
      <c r="B66" s="82" t="s">
        <v>82</v>
      </c>
      <c r="C66" s="5" t="s">
        <v>39</v>
      </c>
      <c r="D66" s="8">
        <f>0.6*0.2*(8*12+25+27+27+41+28+27+18)</f>
        <v>34.68</v>
      </c>
      <c r="E66" s="8">
        <v>57</v>
      </c>
      <c r="F66" s="8">
        <f t="shared" si="1"/>
        <v>1976.76</v>
      </c>
      <c r="G66" s="8" t="s">
        <v>63</v>
      </c>
    </row>
    <row r="67" ht="24" customHeight="1" spans="1:7">
      <c r="A67" s="5">
        <v>56</v>
      </c>
      <c r="B67" s="82" t="s">
        <v>90</v>
      </c>
      <c r="C67" s="5" t="s">
        <v>39</v>
      </c>
      <c r="D67" s="8">
        <f>461.21-D66-D68</f>
        <v>46.5</v>
      </c>
      <c r="E67" s="8">
        <v>57</v>
      </c>
      <c r="F67" s="8">
        <f t="shared" si="1"/>
        <v>2650.5</v>
      </c>
      <c r="G67" s="8" t="s">
        <v>63</v>
      </c>
    </row>
    <row r="68" ht="24" customHeight="1" spans="1:7">
      <c r="A68" s="5">
        <v>57</v>
      </c>
      <c r="B68" s="82" t="s">
        <v>91</v>
      </c>
      <c r="C68" s="5" t="s">
        <v>39</v>
      </c>
      <c r="D68" s="8">
        <f>43.93+55.6+55.58+84.27+55.51+55.49+29.65</f>
        <v>380.03</v>
      </c>
      <c r="E68" s="8">
        <v>57</v>
      </c>
      <c r="F68" s="8">
        <f t="shared" ref="F68:F99" si="2">D68*E68</f>
        <v>21661.71</v>
      </c>
      <c r="G68" s="8" t="s">
        <v>63</v>
      </c>
    </row>
    <row r="69" ht="24" customHeight="1" spans="1:7">
      <c r="A69" s="5">
        <v>58</v>
      </c>
      <c r="B69" s="82" t="s">
        <v>62</v>
      </c>
      <c r="C69" s="5" t="s">
        <v>39</v>
      </c>
      <c r="D69" s="8">
        <v>9.36</v>
      </c>
      <c r="E69" s="8">
        <v>57</v>
      </c>
      <c r="F69" s="8">
        <f t="shared" si="2"/>
        <v>533.52</v>
      </c>
      <c r="G69" s="8" t="s">
        <v>63</v>
      </c>
    </row>
    <row r="70" ht="24" customHeight="1" spans="1:7">
      <c r="A70" s="5">
        <v>59</v>
      </c>
      <c r="B70" s="82" t="s">
        <v>66</v>
      </c>
      <c r="C70" s="5" t="s">
        <v>45</v>
      </c>
      <c r="D70" s="8">
        <f>0.1*D72</f>
        <v>47.057</v>
      </c>
      <c r="E70" s="8">
        <v>380</v>
      </c>
      <c r="F70" s="8">
        <f t="shared" si="2"/>
        <v>17881.66</v>
      </c>
      <c r="G70" s="8" t="s">
        <v>46</v>
      </c>
    </row>
    <row r="71" ht="24" customHeight="1" spans="1:7">
      <c r="A71" s="5">
        <v>60</v>
      </c>
      <c r="B71" s="82" t="s">
        <v>67</v>
      </c>
      <c r="C71" s="5" t="s">
        <v>45</v>
      </c>
      <c r="D71" s="8">
        <f>0.1*D72</f>
        <v>47.057</v>
      </c>
      <c r="E71" s="8">
        <v>110</v>
      </c>
      <c r="F71" s="8">
        <f t="shared" si="2"/>
        <v>5176.27</v>
      </c>
      <c r="G71" s="8" t="s">
        <v>46</v>
      </c>
    </row>
    <row r="72" ht="24" customHeight="1" spans="1:7">
      <c r="A72" s="5">
        <v>61</v>
      </c>
      <c r="B72" s="82" t="s">
        <v>68</v>
      </c>
      <c r="C72" s="5" t="s">
        <v>39</v>
      </c>
      <c r="D72" s="8">
        <f>SUM(D66:D69)</f>
        <v>470.57</v>
      </c>
      <c r="E72" s="8">
        <v>2.5</v>
      </c>
      <c r="F72" s="8">
        <f t="shared" si="2"/>
        <v>1176.425</v>
      </c>
      <c r="G72" s="8" t="s">
        <v>46</v>
      </c>
    </row>
    <row r="73" ht="24" customHeight="1" spans="1:7">
      <c r="A73" s="132"/>
      <c r="B73" s="134" t="s">
        <v>93</v>
      </c>
      <c r="C73" s="132"/>
      <c r="D73" s="8"/>
      <c r="E73" s="8"/>
      <c r="F73" s="8"/>
      <c r="G73" s="8"/>
    </row>
    <row r="74" ht="24" customHeight="1" spans="1:7">
      <c r="A74" s="5">
        <v>62</v>
      </c>
      <c r="B74" s="82" t="s">
        <v>94</v>
      </c>
      <c r="C74" s="5" t="s">
        <v>39</v>
      </c>
      <c r="D74" s="8">
        <f>7.2*7.2</f>
        <v>51.84</v>
      </c>
      <c r="E74" s="8">
        <v>57</v>
      </c>
      <c r="F74" s="8">
        <f t="shared" si="2"/>
        <v>2954.88</v>
      </c>
      <c r="G74" s="8" t="s">
        <v>63</v>
      </c>
    </row>
    <row r="75" ht="24" customHeight="1" spans="1:7">
      <c r="A75" s="5">
        <v>63</v>
      </c>
      <c r="B75" s="140" t="s">
        <v>95</v>
      </c>
      <c r="C75" s="5" t="s">
        <v>39</v>
      </c>
      <c r="D75" s="8">
        <f>4.2*1.6*2-4.03-4.37</f>
        <v>5.04</v>
      </c>
      <c r="E75" s="8">
        <v>57</v>
      </c>
      <c r="F75" s="8">
        <f t="shared" si="2"/>
        <v>287.28</v>
      </c>
      <c r="G75" s="8" t="s">
        <v>63</v>
      </c>
    </row>
    <row r="76" ht="24" customHeight="1" spans="1:7">
      <c r="A76" s="5">
        <v>64</v>
      </c>
      <c r="B76" s="140" t="s">
        <v>96</v>
      </c>
      <c r="C76" s="5" t="s">
        <v>39</v>
      </c>
      <c r="D76" s="8">
        <f>4.2*0.48*2</f>
        <v>4.032</v>
      </c>
      <c r="E76" s="8">
        <v>57</v>
      </c>
      <c r="F76" s="8">
        <f t="shared" si="2"/>
        <v>229.824</v>
      </c>
      <c r="G76" s="8" t="s">
        <v>63</v>
      </c>
    </row>
    <row r="77" ht="24" customHeight="1" spans="1:7">
      <c r="A77" s="5">
        <v>65</v>
      </c>
      <c r="B77" s="140" t="s">
        <v>97</v>
      </c>
      <c r="C77" s="5" t="s">
        <v>39</v>
      </c>
      <c r="D77" s="8">
        <f>4.2*0.52*2</f>
        <v>4.368</v>
      </c>
      <c r="E77" s="8">
        <v>57</v>
      </c>
      <c r="F77" s="8">
        <f t="shared" si="2"/>
        <v>248.976</v>
      </c>
      <c r="G77" s="8" t="s">
        <v>63</v>
      </c>
    </row>
    <row r="78" ht="24" customHeight="1" spans="1:7">
      <c r="A78" s="5">
        <v>66</v>
      </c>
      <c r="B78" s="82" t="s">
        <v>95</v>
      </c>
      <c r="C78" s="5" t="s">
        <v>39</v>
      </c>
      <c r="D78" s="8">
        <f>18.77+101.92-23.4+126.88-114.05</f>
        <v>110.12</v>
      </c>
      <c r="E78" s="8">
        <v>57</v>
      </c>
      <c r="F78" s="8">
        <f t="shared" si="2"/>
        <v>6276.84</v>
      </c>
      <c r="G78" s="8" t="s">
        <v>63</v>
      </c>
    </row>
    <row r="79" ht="24" customHeight="1" spans="1:7">
      <c r="A79" s="5">
        <v>67</v>
      </c>
      <c r="B79" s="82" t="s">
        <v>98</v>
      </c>
      <c r="C79" s="5" t="s">
        <v>39</v>
      </c>
      <c r="D79" s="8">
        <f>17.28-11.88+114.05-105.92</f>
        <v>13.53</v>
      </c>
      <c r="E79" s="8">
        <v>57</v>
      </c>
      <c r="F79" s="8">
        <f t="shared" si="2"/>
        <v>771.21</v>
      </c>
      <c r="G79" s="8" t="s">
        <v>63</v>
      </c>
    </row>
    <row r="80" ht="24" customHeight="1" spans="1:7">
      <c r="A80" s="5">
        <v>68</v>
      </c>
      <c r="B80" s="82" t="s">
        <v>82</v>
      </c>
      <c r="C80" s="5" t="s">
        <v>39</v>
      </c>
      <c r="D80" s="8">
        <f>21.28-17.28</f>
        <v>4</v>
      </c>
      <c r="E80" s="8">
        <v>57</v>
      </c>
      <c r="F80" s="8">
        <f t="shared" si="2"/>
        <v>228</v>
      </c>
      <c r="G80" s="8" t="s">
        <v>63</v>
      </c>
    </row>
    <row r="81" ht="24" customHeight="1" spans="1:7">
      <c r="A81" s="5">
        <v>69</v>
      </c>
      <c r="B81" s="82" t="s">
        <v>99</v>
      </c>
      <c r="C81" s="5" t="s">
        <v>39</v>
      </c>
      <c r="D81" s="8">
        <f>23.4-21.28+105.92-101.92</f>
        <v>6.11999999999999</v>
      </c>
      <c r="E81" s="8">
        <v>57</v>
      </c>
      <c r="F81" s="8">
        <f t="shared" si="2"/>
        <v>348.839999999999</v>
      </c>
      <c r="G81" s="8" t="s">
        <v>63</v>
      </c>
    </row>
    <row r="82" ht="36" customHeight="1" spans="1:7">
      <c r="A82" s="5">
        <v>70</v>
      </c>
      <c r="B82" s="82" t="s">
        <v>100</v>
      </c>
      <c r="C82" s="5" t="s">
        <v>56</v>
      </c>
      <c r="D82" s="8">
        <v>2</v>
      </c>
      <c r="E82" s="8">
        <v>200</v>
      </c>
      <c r="F82" s="8">
        <f t="shared" si="2"/>
        <v>400</v>
      </c>
      <c r="G82" s="8" t="s">
        <v>51</v>
      </c>
    </row>
    <row r="83" ht="37" customHeight="1" spans="1:7">
      <c r="A83" s="5">
        <v>71</v>
      </c>
      <c r="B83" s="82" t="s">
        <v>101</v>
      </c>
      <c r="C83" s="5" t="s">
        <v>56</v>
      </c>
      <c r="D83" s="8">
        <v>2</v>
      </c>
      <c r="E83" s="8">
        <v>200</v>
      </c>
      <c r="F83" s="8">
        <f t="shared" si="2"/>
        <v>400</v>
      </c>
      <c r="G83" s="8" t="s">
        <v>51</v>
      </c>
    </row>
    <row r="84" ht="24" customHeight="1" spans="1:7">
      <c r="A84" s="5">
        <v>72</v>
      </c>
      <c r="B84" s="82" t="s">
        <v>66</v>
      </c>
      <c r="C84" s="5" t="s">
        <v>45</v>
      </c>
      <c r="D84" s="8">
        <f>0.1*D86</f>
        <v>21.093</v>
      </c>
      <c r="E84" s="8">
        <v>380</v>
      </c>
      <c r="F84" s="8">
        <f t="shared" si="2"/>
        <v>8015.34</v>
      </c>
      <c r="G84" s="8" t="s">
        <v>46</v>
      </c>
    </row>
    <row r="85" ht="24" customHeight="1" spans="1:7">
      <c r="A85" s="5">
        <v>73</v>
      </c>
      <c r="B85" s="82" t="s">
        <v>67</v>
      </c>
      <c r="C85" s="5" t="s">
        <v>45</v>
      </c>
      <c r="D85" s="8">
        <f>0.1*D86</f>
        <v>21.093</v>
      </c>
      <c r="E85" s="8">
        <v>110</v>
      </c>
      <c r="F85" s="8">
        <f t="shared" si="2"/>
        <v>2320.23</v>
      </c>
      <c r="G85" s="8" t="s">
        <v>46</v>
      </c>
    </row>
    <row r="86" ht="24" customHeight="1" spans="1:7">
      <c r="A86" s="5">
        <v>74</v>
      </c>
      <c r="B86" s="82" t="s">
        <v>68</v>
      </c>
      <c r="C86" s="5" t="s">
        <v>39</v>
      </c>
      <c r="D86" s="8">
        <f>SUM(D74:D81)+1.8*1.8*2+1.5*1.8*2</f>
        <v>210.93</v>
      </c>
      <c r="E86" s="8">
        <v>2.5</v>
      </c>
      <c r="F86" s="8">
        <f t="shared" si="2"/>
        <v>527.325</v>
      </c>
      <c r="G86" s="8" t="s">
        <v>46</v>
      </c>
    </row>
    <row r="87" ht="39" customHeight="1" spans="1:7">
      <c r="A87" s="5">
        <v>75</v>
      </c>
      <c r="B87" s="82" t="s">
        <v>102</v>
      </c>
      <c r="C87" s="5" t="s">
        <v>39</v>
      </c>
      <c r="D87" s="8">
        <f>5.4*0.45*3</f>
        <v>7.29</v>
      </c>
      <c r="E87" s="8">
        <v>57</v>
      </c>
      <c r="F87" s="8">
        <f t="shared" si="2"/>
        <v>415.53</v>
      </c>
      <c r="G87" s="8" t="s">
        <v>51</v>
      </c>
    </row>
    <row r="88" ht="24" customHeight="1" spans="1:7">
      <c r="A88" s="132"/>
      <c r="B88" s="134" t="s">
        <v>103</v>
      </c>
      <c r="C88" s="132" t="s">
        <v>104</v>
      </c>
      <c r="D88" s="8"/>
      <c r="E88" s="8"/>
      <c r="F88" s="8"/>
      <c r="G88" s="8"/>
    </row>
    <row r="89" ht="24" customHeight="1" spans="1:7">
      <c r="A89" s="5">
        <v>76</v>
      </c>
      <c r="B89" s="82" t="s">
        <v>105</v>
      </c>
      <c r="C89" s="5" t="s">
        <v>39</v>
      </c>
      <c r="D89" s="8">
        <f>(12.87+5.22*2+2.88*4+5.85*2+8.73+5.58+5.76*2+2.52+0.405*2)*4</f>
        <v>302.76</v>
      </c>
      <c r="E89" s="8">
        <v>57</v>
      </c>
      <c r="F89" s="8">
        <f t="shared" si="2"/>
        <v>17257.32</v>
      </c>
      <c r="G89" s="8" t="s">
        <v>63</v>
      </c>
    </row>
    <row r="90" ht="24" customHeight="1" spans="1:7">
      <c r="A90" s="5">
        <v>77</v>
      </c>
      <c r="B90" s="82" t="s">
        <v>106</v>
      </c>
      <c r="C90" s="5" t="s">
        <v>39</v>
      </c>
      <c r="D90" s="8">
        <f>(9.96+5.9+5.87+0.97+1.575*2+2.75*4+1.575*4+1.305*4+2.79*2)*4</f>
        <v>215.8</v>
      </c>
      <c r="E90" s="8">
        <v>57</v>
      </c>
      <c r="F90" s="8">
        <f t="shared" si="2"/>
        <v>12300.6</v>
      </c>
      <c r="G90" s="8" t="s">
        <v>63</v>
      </c>
    </row>
    <row r="91" ht="24" customHeight="1" spans="1:7">
      <c r="A91" s="5">
        <v>78</v>
      </c>
      <c r="B91" s="82" t="s">
        <v>107</v>
      </c>
      <c r="C91" s="5" t="s">
        <v>39</v>
      </c>
      <c r="D91" s="8">
        <f>(11.88*2+57.42+118.99+17.28+17.28+25.92*4+59.22)*4</f>
        <v>1590.52</v>
      </c>
      <c r="E91" s="8">
        <v>57</v>
      </c>
      <c r="F91" s="8">
        <f t="shared" si="2"/>
        <v>90659.64</v>
      </c>
      <c r="G91" s="8" t="s">
        <v>63</v>
      </c>
    </row>
    <row r="92" ht="36" customHeight="1" spans="1:7">
      <c r="A92" s="5">
        <v>79</v>
      </c>
      <c r="B92" s="82" t="s">
        <v>108</v>
      </c>
      <c r="C92" s="5" t="s">
        <v>56</v>
      </c>
      <c r="D92" s="8">
        <f>1*4</f>
        <v>4</v>
      </c>
      <c r="E92" s="8">
        <v>200</v>
      </c>
      <c r="F92" s="8">
        <f t="shared" si="2"/>
        <v>800</v>
      </c>
      <c r="G92" s="8" t="s">
        <v>51</v>
      </c>
    </row>
    <row r="93" ht="24" customHeight="1" spans="1:7">
      <c r="A93" s="5">
        <v>80</v>
      </c>
      <c r="B93" s="140" t="s">
        <v>109</v>
      </c>
      <c r="C93" s="5" t="s">
        <v>45</v>
      </c>
      <c r="D93" s="8">
        <f>D95*0.15</f>
        <v>317.172</v>
      </c>
      <c r="E93" s="8">
        <v>390</v>
      </c>
      <c r="F93" s="8">
        <f t="shared" si="2"/>
        <v>123697.08</v>
      </c>
      <c r="G93" s="8" t="s">
        <v>46</v>
      </c>
    </row>
    <row r="94" ht="24" customHeight="1" spans="1:7">
      <c r="A94" s="5">
        <v>81</v>
      </c>
      <c r="B94" s="82" t="s">
        <v>47</v>
      </c>
      <c r="C94" s="5" t="s">
        <v>45</v>
      </c>
      <c r="D94" s="8">
        <f>D95*0.15</f>
        <v>317.172</v>
      </c>
      <c r="E94" s="8">
        <v>110</v>
      </c>
      <c r="F94" s="8">
        <f t="shared" si="2"/>
        <v>34888.92</v>
      </c>
      <c r="G94" s="8" t="s">
        <v>46</v>
      </c>
    </row>
    <row r="95" ht="24" customHeight="1" spans="1:7">
      <c r="A95" s="5">
        <v>82</v>
      </c>
      <c r="B95" s="82" t="s">
        <v>68</v>
      </c>
      <c r="C95" s="5" t="s">
        <v>39</v>
      </c>
      <c r="D95" s="8">
        <f>D89+D90+D91+1.5*0.9*4</f>
        <v>2114.48</v>
      </c>
      <c r="E95" s="8">
        <v>2.5</v>
      </c>
      <c r="F95" s="8">
        <f t="shared" si="2"/>
        <v>5286.2</v>
      </c>
      <c r="G95" s="8" t="s">
        <v>46</v>
      </c>
    </row>
    <row r="96" ht="24" customHeight="1" spans="1:7">
      <c r="A96" s="132"/>
      <c r="B96" s="134" t="s">
        <v>110</v>
      </c>
      <c r="C96" s="132" t="s">
        <v>111</v>
      </c>
      <c r="D96" s="8"/>
      <c r="E96" s="8"/>
      <c r="F96" s="8"/>
      <c r="G96" s="8"/>
    </row>
    <row r="97" ht="24" customHeight="1" spans="1:7">
      <c r="A97" s="5">
        <v>83</v>
      </c>
      <c r="B97" s="82" t="s">
        <v>105</v>
      </c>
      <c r="C97" s="5" t="s">
        <v>39</v>
      </c>
      <c r="D97" s="8">
        <f>(272.13-(239.8-(71.95+70.47+76.22)-1.54-1.53)-(71.95+70.47+76.22))*2+(176.535-(76.5+77.025-(70.56+71.095))-(70.56+71.095))*2+255.72+47.37+22.15-(111.3+111.15+36.33+14.74)</f>
        <v>168.54</v>
      </c>
      <c r="E97" s="8">
        <v>57</v>
      </c>
      <c r="F97" s="8">
        <f t="shared" si="2"/>
        <v>9606.78</v>
      </c>
      <c r="G97" s="8" t="s">
        <v>63</v>
      </c>
    </row>
    <row r="98" ht="24" customHeight="1" spans="1:7">
      <c r="A98" s="5">
        <v>84</v>
      </c>
      <c r="B98" s="82" t="s">
        <v>106</v>
      </c>
      <c r="C98" s="5" t="s">
        <v>39</v>
      </c>
      <c r="D98" s="8">
        <f>(239.8-(71.95+70.47+76.22)-1.54-1.53)*2+(76.5+77.025-(70.56+71.095))*2+(111.3+111.15+36.33+14.74)-(102.74+31.51+102.72+11.73)</f>
        <v>84.74</v>
      </c>
      <c r="E98" s="8">
        <v>57</v>
      </c>
      <c r="F98" s="8">
        <f t="shared" si="2"/>
        <v>4830.18</v>
      </c>
      <c r="G98" s="8" t="s">
        <v>63</v>
      </c>
    </row>
    <row r="99" ht="24" customHeight="1" spans="1:7">
      <c r="A99" s="5">
        <v>85</v>
      </c>
      <c r="B99" s="82" t="s">
        <v>107</v>
      </c>
      <c r="C99" s="5" t="s">
        <v>39</v>
      </c>
      <c r="D99" s="8">
        <f>(71.95+70.47+76.22)*2+(70.56+71.095)*2+(102.74+31.51+102.72+11.73)</f>
        <v>969.29</v>
      </c>
      <c r="E99" s="8">
        <v>57</v>
      </c>
      <c r="F99" s="8">
        <f t="shared" si="2"/>
        <v>55249.53</v>
      </c>
      <c r="G99" s="8" t="s">
        <v>63</v>
      </c>
    </row>
    <row r="100" ht="24" customHeight="1" spans="1:7">
      <c r="A100" s="5">
        <v>86</v>
      </c>
      <c r="B100" s="140" t="s">
        <v>109</v>
      </c>
      <c r="C100" s="5" t="s">
        <v>45</v>
      </c>
      <c r="D100" s="8">
        <f>0.15*D102</f>
        <v>183.3855</v>
      </c>
      <c r="E100" s="8">
        <v>390</v>
      </c>
      <c r="F100" s="8">
        <f t="shared" ref="F100:F131" si="3">D100*E100</f>
        <v>71520.345</v>
      </c>
      <c r="G100" s="8" t="s">
        <v>46</v>
      </c>
    </row>
    <row r="101" ht="24" customHeight="1" spans="1:7">
      <c r="A101" s="5">
        <v>87</v>
      </c>
      <c r="B101" s="82" t="s">
        <v>47</v>
      </c>
      <c r="C101" s="5" t="s">
        <v>45</v>
      </c>
      <c r="D101" s="8">
        <f>0.15*D102</f>
        <v>183.3855</v>
      </c>
      <c r="E101" s="8">
        <v>110</v>
      </c>
      <c r="F101" s="8">
        <f t="shared" si="3"/>
        <v>20172.405</v>
      </c>
      <c r="G101" s="8" t="s">
        <v>46</v>
      </c>
    </row>
    <row r="102" ht="24" customHeight="1" spans="1:7">
      <c r="A102" s="5">
        <v>88</v>
      </c>
      <c r="B102" s="82" t="s">
        <v>68</v>
      </c>
      <c r="C102" s="5" t="s">
        <v>39</v>
      </c>
      <c r="D102" s="8">
        <f>SUM(D97:D99)</f>
        <v>1222.57</v>
      </c>
      <c r="E102" s="8">
        <v>2.5</v>
      </c>
      <c r="F102" s="8">
        <f t="shared" si="3"/>
        <v>3056.425</v>
      </c>
      <c r="G102" s="8" t="s">
        <v>46</v>
      </c>
    </row>
    <row r="103" ht="24" customHeight="1" spans="1:7">
      <c r="A103" s="132"/>
      <c r="B103" s="134" t="s">
        <v>112</v>
      </c>
      <c r="C103" s="132"/>
      <c r="D103" s="8"/>
      <c r="E103" s="8"/>
      <c r="F103" s="8"/>
      <c r="G103" s="8"/>
    </row>
    <row r="104" ht="24" customHeight="1" spans="1:7">
      <c r="A104" s="5">
        <v>89</v>
      </c>
      <c r="B104" s="82" t="s">
        <v>113</v>
      </c>
      <c r="C104" s="5" t="s">
        <v>39</v>
      </c>
      <c r="D104" s="8">
        <f>30.39+25.43+19.87+9.5+19.34+26.63+6.21+16.42</f>
        <v>153.79</v>
      </c>
      <c r="E104" s="8">
        <v>57</v>
      </c>
      <c r="F104" s="8">
        <f t="shared" si="3"/>
        <v>8766.03</v>
      </c>
      <c r="G104" s="8" t="s">
        <v>63</v>
      </c>
    </row>
    <row r="105" ht="24" customHeight="1" spans="1:7">
      <c r="A105" s="5">
        <v>90</v>
      </c>
      <c r="B105" s="82" t="s">
        <v>95</v>
      </c>
      <c r="C105" s="5" t="s">
        <v>39</v>
      </c>
      <c r="D105" s="8">
        <f>313.7-153.79</f>
        <v>159.91</v>
      </c>
      <c r="E105" s="8">
        <v>57</v>
      </c>
      <c r="F105" s="8">
        <f t="shared" si="3"/>
        <v>9114.87</v>
      </c>
      <c r="G105" s="8" t="s">
        <v>63</v>
      </c>
    </row>
    <row r="106" ht="24" customHeight="1" spans="1:7">
      <c r="A106" s="5">
        <v>91</v>
      </c>
      <c r="B106" s="82" t="s">
        <v>95</v>
      </c>
      <c r="C106" s="5" t="s">
        <v>39</v>
      </c>
      <c r="D106" s="8">
        <v>17.4</v>
      </c>
      <c r="E106" s="8">
        <v>57</v>
      </c>
      <c r="F106" s="8">
        <f t="shared" si="3"/>
        <v>991.8</v>
      </c>
      <c r="G106" s="8" t="s">
        <v>63</v>
      </c>
    </row>
    <row r="107" ht="24" customHeight="1" spans="1:7">
      <c r="A107" s="5">
        <v>92</v>
      </c>
      <c r="B107" s="82" t="s">
        <v>114</v>
      </c>
      <c r="C107" s="5" t="s">
        <v>39</v>
      </c>
      <c r="D107" s="8">
        <f>11.34+56.72-22.5+13.855*2</f>
        <v>73.27</v>
      </c>
      <c r="E107" s="8">
        <v>57</v>
      </c>
      <c r="F107" s="8">
        <f t="shared" si="3"/>
        <v>4176.39</v>
      </c>
      <c r="G107" s="8" t="s">
        <v>63</v>
      </c>
    </row>
    <row r="108" ht="24" customHeight="1" spans="1:7">
      <c r="A108" s="5">
        <v>93</v>
      </c>
      <c r="B108" s="82" t="s">
        <v>115</v>
      </c>
      <c r="C108" s="5" t="s">
        <v>39</v>
      </c>
      <c r="D108" s="8">
        <f>13.86-11.34+22.5-19.44+61.58-56.72</f>
        <v>10.44</v>
      </c>
      <c r="E108" s="8">
        <v>57</v>
      </c>
      <c r="F108" s="8">
        <f t="shared" si="3"/>
        <v>595.08</v>
      </c>
      <c r="G108" s="8" t="s">
        <v>63</v>
      </c>
    </row>
    <row r="109" ht="24" customHeight="1" spans="1:7">
      <c r="A109" s="5">
        <v>94</v>
      </c>
      <c r="B109" s="82" t="s">
        <v>116</v>
      </c>
      <c r="C109" s="5" t="s">
        <v>39</v>
      </c>
      <c r="D109" s="8">
        <f>19.44-13.86+70.94-61.58</f>
        <v>14.94</v>
      </c>
      <c r="E109" s="8">
        <v>57</v>
      </c>
      <c r="F109" s="8">
        <f t="shared" si="3"/>
        <v>851.58</v>
      </c>
      <c r="G109" s="8" t="s">
        <v>63</v>
      </c>
    </row>
    <row r="110" ht="24" customHeight="1" spans="1:7">
      <c r="A110" s="5">
        <v>95</v>
      </c>
      <c r="B110" s="82" t="s">
        <v>117</v>
      </c>
      <c r="C110" s="5" t="s">
        <v>39</v>
      </c>
      <c r="D110" s="8">
        <f>(19.58-13.855)*2</f>
        <v>11.45</v>
      </c>
      <c r="E110" s="8">
        <v>57</v>
      </c>
      <c r="F110" s="8">
        <f t="shared" si="3"/>
        <v>652.65</v>
      </c>
      <c r="G110" s="8" t="s">
        <v>63</v>
      </c>
    </row>
    <row r="111" ht="24" customHeight="1" spans="1:7">
      <c r="A111" s="5">
        <v>96</v>
      </c>
      <c r="B111" s="82" t="s">
        <v>66</v>
      </c>
      <c r="C111" s="5" t="s">
        <v>45</v>
      </c>
      <c r="D111" s="8">
        <f>D113*0.1</f>
        <v>44.12</v>
      </c>
      <c r="E111" s="8">
        <v>380</v>
      </c>
      <c r="F111" s="8">
        <f t="shared" si="3"/>
        <v>16765.6</v>
      </c>
      <c r="G111" s="8" t="s">
        <v>46</v>
      </c>
    </row>
    <row r="112" ht="24" customHeight="1" spans="1:7">
      <c r="A112" s="5">
        <v>97</v>
      </c>
      <c r="B112" s="82" t="s">
        <v>67</v>
      </c>
      <c r="C112" s="5" t="s">
        <v>45</v>
      </c>
      <c r="D112" s="8">
        <f>D113*0.1</f>
        <v>44.12</v>
      </c>
      <c r="E112" s="8">
        <v>110</v>
      </c>
      <c r="F112" s="8">
        <f t="shared" si="3"/>
        <v>4853.2</v>
      </c>
      <c r="G112" s="8" t="s">
        <v>46</v>
      </c>
    </row>
    <row r="113" ht="24" customHeight="1" spans="1:7">
      <c r="A113" s="5">
        <v>98</v>
      </c>
      <c r="B113" s="82" t="s">
        <v>68</v>
      </c>
      <c r="C113" s="5" t="s">
        <v>39</v>
      </c>
      <c r="D113" s="8">
        <f>D104+D105+D106+D107+D108+D109+D110</f>
        <v>441.2</v>
      </c>
      <c r="E113" s="8">
        <v>2.5</v>
      </c>
      <c r="F113" s="8">
        <f t="shared" si="3"/>
        <v>1103</v>
      </c>
      <c r="G113" s="8" t="s">
        <v>46</v>
      </c>
    </row>
    <row r="114" ht="24" customHeight="1" spans="1:7">
      <c r="A114" s="132"/>
      <c r="B114" s="133" t="s">
        <v>118</v>
      </c>
      <c r="C114" s="132"/>
      <c r="D114" s="8"/>
      <c r="E114" s="8"/>
      <c r="F114" s="8"/>
      <c r="G114" s="8"/>
    </row>
    <row r="115" ht="24" customHeight="1" spans="1:7">
      <c r="A115" s="5">
        <v>99</v>
      </c>
      <c r="B115" s="82" t="s">
        <v>119</v>
      </c>
      <c r="C115" s="5" t="s">
        <v>39</v>
      </c>
      <c r="D115" s="8">
        <f>3.02*2</f>
        <v>6.04</v>
      </c>
      <c r="E115" s="8">
        <v>57</v>
      </c>
      <c r="F115" s="8">
        <f t="shared" si="3"/>
        <v>344.28</v>
      </c>
      <c r="G115" s="8" t="s">
        <v>51</v>
      </c>
    </row>
    <row r="116" ht="24" customHeight="1" spans="1:7">
      <c r="A116" s="5">
        <v>100</v>
      </c>
      <c r="B116" s="82" t="s">
        <v>99</v>
      </c>
      <c r="C116" s="5" t="s">
        <v>39</v>
      </c>
      <c r="D116" s="8">
        <f>1.51*2</f>
        <v>3.02</v>
      </c>
      <c r="E116" s="8">
        <v>57</v>
      </c>
      <c r="F116" s="8">
        <f t="shared" si="3"/>
        <v>172.14</v>
      </c>
      <c r="G116" s="8" t="s">
        <v>63</v>
      </c>
    </row>
    <row r="117" ht="24" customHeight="1" spans="1:7">
      <c r="A117" s="5">
        <v>101</v>
      </c>
      <c r="B117" s="82" t="s">
        <v>114</v>
      </c>
      <c r="C117" s="5" t="s">
        <v>39</v>
      </c>
      <c r="D117" s="8">
        <v>22.63</v>
      </c>
      <c r="E117" s="8">
        <v>57</v>
      </c>
      <c r="F117" s="8">
        <f t="shared" si="3"/>
        <v>1289.91</v>
      </c>
      <c r="G117" s="8" t="s">
        <v>63</v>
      </c>
    </row>
    <row r="118" ht="24" customHeight="1" spans="1:7">
      <c r="A118" s="5">
        <v>102</v>
      </c>
      <c r="B118" s="82" t="s">
        <v>66</v>
      </c>
      <c r="C118" s="5" t="s">
        <v>45</v>
      </c>
      <c r="D118" s="8">
        <f>0.1*D120</f>
        <v>3.169</v>
      </c>
      <c r="E118" s="8">
        <v>380</v>
      </c>
      <c r="F118" s="8">
        <f t="shared" si="3"/>
        <v>1204.22</v>
      </c>
      <c r="G118" s="8" t="s">
        <v>46</v>
      </c>
    </row>
    <row r="119" ht="24" customHeight="1" spans="1:7">
      <c r="A119" s="5">
        <v>103</v>
      </c>
      <c r="B119" s="82" t="s">
        <v>67</v>
      </c>
      <c r="C119" s="5" t="s">
        <v>45</v>
      </c>
      <c r="D119" s="8">
        <f>0.1*D120</f>
        <v>3.169</v>
      </c>
      <c r="E119" s="8">
        <v>110</v>
      </c>
      <c r="F119" s="8">
        <f t="shared" si="3"/>
        <v>348.59</v>
      </c>
      <c r="G119" s="8" t="s">
        <v>46</v>
      </c>
    </row>
    <row r="120" ht="24" customHeight="1" spans="1:7">
      <c r="A120" s="5">
        <v>104</v>
      </c>
      <c r="B120" s="82" t="s">
        <v>68</v>
      </c>
      <c r="C120" s="5" t="s">
        <v>39</v>
      </c>
      <c r="D120" s="8">
        <f>SUM(D115:D117)</f>
        <v>31.69</v>
      </c>
      <c r="E120" s="8">
        <v>2.5</v>
      </c>
      <c r="F120" s="8">
        <f t="shared" si="3"/>
        <v>79.225</v>
      </c>
      <c r="G120" s="8" t="s">
        <v>46</v>
      </c>
    </row>
    <row r="121" ht="24" customHeight="1" spans="1:7">
      <c r="A121" s="132"/>
      <c r="B121" s="133" t="s">
        <v>120</v>
      </c>
      <c r="C121" s="132"/>
      <c r="D121" s="8"/>
      <c r="E121" s="8"/>
      <c r="F121" s="8"/>
      <c r="G121" s="8"/>
    </row>
    <row r="122" ht="24" customHeight="1" spans="1:7">
      <c r="A122" s="5">
        <v>105</v>
      </c>
      <c r="B122" s="82" t="s">
        <v>119</v>
      </c>
      <c r="C122" s="5" t="s">
        <v>39</v>
      </c>
      <c r="D122" s="8">
        <f>34.08-29.24</f>
        <v>4.84</v>
      </c>
      <c r="E122" s="8">
        <v>57</v>
      </c>
      <c r="F122" s="8">
        <f t="shared" si="3"/>
        <v>275.88</v>
      </c>
      <c r="G122" s="8" t="s">
        <v>51</v>
      </c>
    </row>
    <row r="123" ht="24" customHeight="1" spans="1:7">
      <c r="A123" s="5">
        <v>106</v>
      </c>
      <c r="B123" s="82" t="s">
        <v>99</v>
      </c>
      <c r="C123" s="5" t="s">
        <v>39</v>
      </c>
      <c r="D123" s="8">
        <f>29.24-26.94</f>
        <v>2.3</v>
      </c>
      <c r="E123" s="8">
        <v>57</v>
      </c>
      <c r="F123" s="8">
        <f t="shared" si="3"/>
        <v>131.1</v>
      </c>
      <c r="G123" s="8" t="s">
        <v>63</v>
      </c>
    </row>
    <row r="124" ht="24" customHeight="1" spans="1:7">
      <c r="A124" s="5">
        <v>107</v>
      </c>
      <c r="B124" s="82" t="s">
        <v>114</v>
      </c>
      <c r="C124" s="5" t="s">
        <v>39</v>
      </c>
      <c r="D124" s="8">
        <v>26.94</v>
      </c>
      <c r="E124" s="8">
        <v>57</v>
      </c>
      <c r="F124" s="8">
        <f t="shared" si="3"/>
        <v>1535.58</v>
      </c>
      <c r="G124" s="8" t="s">
        <v>63</v>
      </c>
    </row>
    <row r="125" ht="24" customHeight="1" spans="1:7">
      <c r="A125" s="5">
        <v>108</v>
      </c>
      <c r="B125" s="82" t="s">
        <v>66</v>
      </c>
      <c r="C125" s="5" t="s">
        <v>45</v>
      </c>
      <c r="D125" s="8">
        <f>D127*0.1</f>
        <v>3.408</v>
      </c>
      <c r="E125" s="8">
        <v>380</v>
      </c>
      <c r="F125" s="8">
        <f t="shared" si="3"/>
        <v>1295.04</v>
      </c>
      <c r="G125" s="8" t="s">
        <v>46</v>
      </c>
    </row>
    <row r="126" ht="24" customHeight="1" spans="1:7">
      <c r="A126" s="5">
        <v>109</v>
      </c>
      <c r="B126" s="82" t="s">
        <v>67</v>
      </c>
      <c r="C126" s="5" t="s">
        <v>45</v>
      </c>
      <c r="D126" s="8">
        <f>D127*0.1</f>
        <v>3.408</v>
      </c>
      <c r="E126" s="8">
        <v>110</v>
      </c>
      <c r="F126" s="8">
        <f t="shared" si="3"/>
        <v>374.88</v>
      </c>
      <c r="G126" s="8" t="s">
        <v>46</v>
      </c>
    </row>
    <row r="127" ht="24" customHeight="1" spans="1:7">
      <c r="A127" s="5">
        <v>110</v>
      </c>
      <c r="B127" s="82" t="s">
        <v>68</v>
      </c>
      <c r="C127" s="5" t="s">
        <v>39</v>
      </c>
      <c r="D127" s="8">
        <v>34.08</v>
      </c>
      <c r="E127" s="8">
        <v>2.5</v>
      </c>
      <c r="F127" s="8">
        <f t="shared" si="3"/>
        <v>85.2</v>
      </c>
      <c r="G127" s="8" t="s">
        <v>46</v>
      </c>
    </row>
    <row r="128" ht="24" customHeight="1" spans="1:7">
      <c r="A128" s="132"/>
      <c r="B128" s="133" t="s">
        <v>121</v>
      </c>
      <c r="C128" s="132"/>
      <c r="D128" s="21"/>
      <c r="E128" s="8"/>
      <c r="F128" s="8"/>
      <c r="G128" s="8"/>
    </row>
    <row r="129" ht="24" customHeight="1" spans="1:7">
      <c r="A129" s="5">
        <v>111</v>
      </c>
      <c r="B129" s="82" t="s">
        <v>114</v>
      </c>
      <c r="C129" s="5" t="s">
        <v>39</v>
      </c>
      <c r="D129" s="8"/>
      <c r="E129" s="8">
        <v>57</v>
      </c>
      <c r="F129" s="8"/>
      <c r="G129" s="8" t="s">
        <v>122</v>
      </c>
    </row>
    <row r="130" ht="24" customHeight="1" spans="1:7">
      <c r="A130" s="5">
        <v>112</v>
      </c>
      <c r="B130" s="82" t="s">
        <v>123</v>
      </c>
      <c r="C130" s="5" t="s">
        <v>39</v>
      </c>
      <c r="D130" s="8">
        <f>70.08-63.48</f>
        <v>6.6</v>
      </c>
      <c r="E130" s="8">
        <v>57</v>
      </c>
      <c r="F130" s="8">
        <f t="shared" si="3"/>
        <v>376.2</v>
      </c>
      <c r="G130" s="8" t="s">
        <v>51</v>
      </c>
    </row>
    <row r="131" ht="24" customHeight="1" spans="1:7">
      <c r="A131" s="5">
        <v>113</v>
      </c>
      <c r="B131" s="82" t="s">
        <v>124</v>
      </c>
      <c r="C131" s="5" t="s">
        <v>39</v>
      </c>
      <c r="D131" s="141">
        <f>D136-D130-D132-D133</f>
        <v>10.56</v>
      </c>
      <c r="E131" s="8">
        <v>57</v>
      </c>
      <c r="F131" s="8">
        <f t="shared" si="3"/>
        <v>601.92</v>
      </c>
      <c r="G131" s="8" t="s">
        <v>63</v>
      </c>
    </row>
    <row r="132" ht="24" customHeight="1" spans="1:7">
      <c r="A132" s="5">
        <v>114</v>
      </c>
      <c r="B132" s="82" t="s">
        <v>125</v>
      </c>
      <c r="C132" s="5" t="s">
        <v>39</v>
      </c>
      <c r="D132" s="141">
        <v>33.6</v>
      </c>
      <c r="E132" s="8">
        <v>57</v>
      </c>
      <c r="F132" s="8">
        <f t="shared" ref="F132:F163" si="4">D132*E132</f>
        <v>1915.2</v>
      </c>
      <c r="G132" s="8" t="s">
        <v>63</v>
      </c>
    </row>
    <row r="133" ht="24" customHeight="1" spans="1:7">
      <c r="A133" s="5">
        <v>115</v>
      </c>
      <c r="B133" s="82" t="s">
        <v>126</v>
      </c>
      <c r="C133" s="5" t="s">
        <v>39</v>
      </c>
      <c r="D133" s="141">
        <v>19.32</v>
      </c>
      <c r="E133" s="8">
        <v>57</v>
      </c>
      <c r="F133" s="8">
        <f t="shared" si="4"/>
        <v>1101.24</v>
      </c>
      <c r="G133" s="8" t="s">
        <v>63</v>
      </c>
    </row>
    <row r="134" ht="24" customHeight="1" spans="1:7">
      <c r="A134" s="5">
        <v>116</v>
      </c>
      <c r="B134" s="82" t="s">
        <v>66</v>
      </c>
      <c r="C134" s="5" t="s">
        <v>45</v>
      </c>
      <c r="D134" s="8">
        <f>D136*0.1</f>
        <v>7.008</v>
      </c>
      <c r="E134" s="8">
        <v>380</v>
      </c>
      <c r="F134" s="8">
        <f t="shared" si="4"/>
        <v>2663.04</v>
      </c>
      <c r="G134" s="8" t="s">
        <v>46</v>
      </c>
    </row>
    <row r="135" ht="24" customHeight="1" spans="1:7">
      <c r="A135" s="5">
        <v>117</v>
      </c>
      <c r="B135" s="82" t="s">
        <v>67</v>
      </c>
      <c r="C135" s="5" t="s">
        <v>45</v>
      </c>
      <c r="D135" s="8">
        <f>D136*0.1</f>
        <v>7.008</v>
      </c>
      <c r="E135" s="8">
        <v>110</v>
      </c>
      <c r="F135" s="8">
        <f t="shared" si="4"/>
        <v>770.88</v>
      </c>
      <c r="G135" s="8" t="s">
        <v>46</v>
      </c>
    </row>
    <row r="136" ht="24" customHeight="1" spans="1:7">
      <c r="A136" s="5">
        <v>118</v>
      </c>
      <c r="B136" s="82" t="s">
        <v>68</v>
      </c>
      <c r="C136" s="5" t="s">
        <v>39</v>
      </c>
      <c r="D136" s="8">
        <v>70.08</v>
      </c>
      <c r="E136" s="8">
        <v>2.5</v>
      </c>
      <c r="F136" s="8">
        <f t="shared" si="4"/>
        <v>175.2</v>
      </c>
      <c r="G136" s="8" t="s">
        <v>46</v>
      </c>
    </row>
    <row r="137" ht="24" customHeight="1" spans="1:7">
      <c r="A137" s="132"/>
      <c r="B137" s="142" t="s">
        <v>127</v>
      </c>
      <c r="C137" s="132"/>
      <c r="D137" s="8"/>
      <c r="E137" s="8"/>
      <c r="F137" s="8"/>
      <c r="G137" s="8"/>
    </row>
    <row r="138" ht="24" customHeight="1" spans="1:7">
      <c r="A138" s="5">
        <v>119</v>
      </c>
      <c r="B138" s="82" t="s">
        <v>114</v>
      </c>
      <c r="C138" s="5" t="s">
        <v>39</v>
      </c>
      <c r="D138" s="8">
        <f>65.03-D139</f>
        <v>60.53</v>
      </c>
      <c r="E138" s="8">
        <v>57</v>
      </c>
      <c r="F138" s="8">
        <f t="shared" si="4"/>
        <v>3450.21</v>
      </c>
      <c r="G138" s="8" t="s">
        <v>63</v>
      </c>
    </row>
    <row r="139" ht="24" customHeight="1" spans="1:7">
      <c r="A139" s="5">
        <v>120</v>
      </c>
      <c r="B139" s="82" t="s">
        <v>117</v>
      </c>
      <c r="C139" s="5" t="s">
        <v>39</v>
      </c>
      <c r="D139" s="8">
        <f>0.9*5</f>
        <v>4.5</v>
      </c>
      <c r="E139" s="8">
        <v>57</v>
      </c>
      <c r="F139" s="8">
        <f t="shared" si="4"/>
        <v>256.5</v>
      </c>
      <c r="G139" s="8" t="s">
        <v>63</v>
      </c>
    </row>
    <row r="140" ht="24" customHeight="1" spans="1:7">
      <c r="A140" s="5">
        <v>121</v>
      </c>
      <c r="B140" s="82" t="s">
        <v>109</v>
      </c>
      <c r="C140" s="5" t="s">
        <v>45</v>
      </c>
      <c r="D140" s="8">
        <f>0.15*D142</f>
        <v>9.7545</v>
      </c>
      <c r="E140" s="8">
        <v>390</v>
      </c>
      <c r="F140" s="8">
        <f t="shared" si="4"/>
        <v>3804.255</v>
      </c>
      <c r="G140" s="8" t="s">
        <v>46</v>
      </c>
    </row>
    <row r="141" ht="24" customHeight="1" spans="1:7">
      <c r="A141" s="5">
        <v>122</v>
      </c>
      <c r="B141" s="82" t="s">
        <v>47</v>
      </c>
      <c r="C141" s="5" t="s">
        <v>45</v>
      </c>
      <c r="D141" s="8">
        <f>0.15*D142</f>
        <v>9.7545</v>
      </c>
      <c r="E141" s="8">
        <v>110</v>
      </c>
      <c r="F141" s="8">
        <f t="shared" si="4"/>
        <v>1072.995</v>
      </c>
      <c r="G141" s="8" t="s">
        <v>46</v>
      </c>
    </row>
    <row r="142" ht="24" customHeight="1" spans="1:7">
      <c r="A142" s="5">
        <v>123</v>
      </c>
      <c r="B142" s="82" t="s">
        <v>68</v>
      </c>
      <c r="C142" s="5" t="s">
        <v>39</v>
      </c>
      <c r="D142" s="8">
        <f>SUM(D138:D139)</f>
        <v>65.03</v>
      </c>
      <c r="E142" s="8">
        <v>2.5</v>
      </c>
      <c r="F142" s="8">
        <f t="shared" si="4"/>
        <v>162.575</v>
      </c>
      <c r="G142" s="8" t="s">
        <v>46</v>
      </c>
    </row>
    <row r="143" ht="24" customHeight="1" spans="1:7">
      <c r="A143" s="132"/>
      <c r="B143" s="133" t="s">
        <v>128</v>
      </c>
      <c r="C143" s="132" t="s">
        <v>104</v>
      </c>
      <c r="D143" s="8"/>
      <c r="E143" s="8"/>
      <c r="F143" s="8"/>
      <c r="G143" s="8"/>
    </row>
    <row r="144" ht="24" customHeight="1" spans="1:7">
      <c r="A144" s="5">
        <v>124</v>
      </c>
      <c r="B144" s="82" t="s">
        <v>114</v>
      </c>
      <c r="C144" s="5" t="s">
        <v>39</v>
      </c>
      <c r="D144" s="8">
        <f>(40.32-2.4*1.5)*2+(40.08-2.4*1.5)+(40.37-2.4*1.5)</f>
        <v>146.69</v>
      </c>
      <c r="E144" s="8">
        <v>57</v>
      </c>
      <c r="F144" s="8">
        <f t="shared" si="4"/>
        <v>8361.33</v>
      </c>
      <c r="G144" s="8" t="s">
        <v>63</v>
      </c>
    </row>
    <row r="145" ht="24" customHeight="1" spans="1:7">
      <c r="A145" s="5">
        <v>125</v>
      </c>
      <c r="B145" s="82" t="s">
        <v>117</v>
      </c>
      <c r="C145" s="5" t="s">
        <v>39</v>
      </c>
      <c r="D145" s="8">
        <f>(48.6-40.32)*2+(48.32-40.08)+(48.74-40.37)</f>
        <v>33.17</v>
      </c>
      <c r="E145" s="8">
        <v>57</v>
      </c>
      <c r="F145" s="8">
        <f t="shared" si="4"/>
        <v>1890.69</v>
      </c>
      <c r="G145" s="8" t="s">
        <v>63</v>
      </c>
    </row>
    <row r="146" ht="32" customHeight="1" spans="1:7">
      <c r="A146" s="5">
        <v>126</v>
      </c>
      <c r="B146" s="82" t="s">
        <v>129</v>
      </c>
      <c r="C146" s="5" t="s">
        <v>56</v>
      </c>
      <c r="D146" s="8">
        <f>2*4</f>
        <v>8</v>
      </c>
      <c r="E146" s="8">
        <v>200</v>
      </c>
      <c r="F146" s="8">
        <f t="shared" si="4"/>
        <v>1600</v>
      </c>
      <c r="G146" s="8" t="s">
        <v>51</v>
      </c>
    </row>
    <row r="147" ht="24" customHeight="1" spans="1:7">
      <c r="A147" s="5">
        <v>127</v>
      </c>
      <c r="B147" s="143" t="s">
        <v>130</v>
      </c>
      <c r="C147" s="5" t="s">
        <v>39</v>
      </c>
      <c r="D147" s="8">
        <f>(7.02+9.78)*2+(6.96+9.24)+(9.18+7.02)</f>
        <v>66</v>
      </c>
      <c r="E147" s="8">
        <v>57</v>
      </c>
      <c r="F147" s="8">
        <f t="shared" si="4"/>
        <v>3762</v>
      </c>
      <c r="G147" s="8" t="s">
        <v>63</v>
      </c>
    </row>
    <row r="148" ht="24" customHeight="1" spans="1:7">
      <c r="A148" s="5">
        <v>128</v>
      </c>
      <c r="B148" s="82" t="s">
        <v>66</v>
      </c>
      <c r="C148" s="5" t="s">
        <v>45</v>
      </c>
      <c r="D148" s="8">
        <f>D150*0.1</f>
        <v>26.026</v>
      </c>
      <c r="E148" s="8">
        <v>380</v>
      </c>
      <c r="F148" s="8">
        <f t="shared" si="4"/>
        <v>9889.88</v>
      </c>
      <c r="G148" s="8" t="s">
        <v>46</v>
      </c>
    </row>
    <row r="149" ht="24" customHeight="1" spans="1:7">
      <c r="A149" s="5">
        <v>129</v>
      </c>
      <c r="B149" s="82" t="s">
        <v>67</v>
      </c>
      <c r="C149" s="5" t="s">
        <v>45</v>
      </c>
      <c r="D149" s="8">
        <f>D150*0.1</f>
        <v>26.026</v>
      </c>
      <c r="E149" s="8">
        <v>110</v>
      </c>
      <c r="F149" s="8">
        <f t="shared" si="4"/>
        <v>2862.86</v>
      </c>
      <c r="G149" s="8" t="s">
        <v>46</v>
      </c>
    </row>
    <row r="150" ht="24" customHeight="1" spans="1:7">
      <c r="A150" s="5">
        <v>130</v>
      </c>
      <c r="B150" s="82" t="s">
        <v>68</v>
      </c>
      <c r="C150" s="5" t="s">
        <v>39</v>
      </c>
      <c r="D150" s="8">
        <f>D144+D145+D147+D146*1.5*1.2</f>
        <v>260.26</v>
      </c>
      <c r="E150" s="8">
        <v>2.5</v>
      </c>
      <c r="F150" s="8">
        <f t="shared" si="4"/>
        <v>650.65</v>
      </c>
      <c r="G150" s="8" t="s">
        <v>46</v>
      </c>
    </row>
    <row r="151" ht="24" customHeight="1" spans="1:7">
      <c r="A151" s="132"/>
      <c r="B151" s="133" t="s">
        <v>131</v>
      </c>
      <c r="C151" s="132" t="s">
        <v>104</v>
      </c>
      <c r="D151" s="8"/>
      <c r="E151" s="8"/>
      <c r="F151" s="8"/>
      <c r="G151" s="8"/>
    </row>
    <row r="152" ht="24" customHeight="1" spans="1:7">
      <c r="A152" s="5">
        <v>131</v>
      </c>
      <c r="B152" s="82" t="s">
        <v>117</v>
      </c>
      <c r="C152" s="5" t="s">
        <v>39</v>
      </c>
      <c r="D152" s="8">
        <f>(24.3-18.72)*4</f>
        <v>22.32</v>
      </c>
      <c r="E152" s="8">
        <v>57</v>
      </c>
      <c r="F152" s="8">
        <f t="shared" si="4"/>
        <v>1272.24</v>
      </c>
      <c r="G152" s="8" t="s">
        <v>63</v>
      </c>
    </row>
    <row r="153" ht="24" customHeight="1" spans="1:7">
      <c r="A153" s="5">
        <v>132</v>
      </c>
      <c r="B153" s="82" t="s">
        <v>116</v>
      </c>
      <c r="C153" s="5" t="s">
        <v>39</v>
      </c>
      <c r="D153" s="8">
        <f>(18.72-1.8*1.2)*4</f>
        <v>66.24</v>
      </c>
      <c r="E153" s="8">
        <v>57</v>
      </c>
      <c r="F153" s="8">
        <f t="shared" si="4"/>
        <v>3775.68</v>
      </c>
      <c r="G153" s="8" t="s">
        <v>63</v>
      </c>
    </row>
    <row r="154" ht="24" customHeight="1" spans="1:7">
      <c r="A154" s="5">
        <v>133</v>
      </c>
      <c r="B154" s="143" t="s">
        <v>130</v>
      </c>
      <c r="C154" s="5" t="s">
        <v>39</v>
      </c>
      <c r="D154" s="8">
        <f>(1.8*1.2-1.5*0.9)*4</f>
        <v>3.24</v>
      </c>
      <c r="E154" s="8">
        <v>57</v>
      </c>
      <c r="F154" s="8">
        <f t="shared" si="4"/>
        <v>184.68</v>
      </c>
      <c r="G154" s="8" t="s">
        <v>63</v>
      </c>
    </row>
    <row r="155" ht="24" customHeight="1" spans="1:7">
      <c r="A155" s="5">
        <v>134</v>
      </c>
      <c r="B155" s="82" t="s">
        <v>114</v>
      </c>
      <c r="C155" s="5" t="s">
        <v>39</v>
      </c>
      <c r="D155" s="8">
        <f>(7.38+9.54)+(9.54+7.44)+(7.74+9.9)*2</f>
        <v>69.18</v>
      </c>
      <c r="E155" s="8">
        <v>57</v>
      </c>
      <c r="F155" s="8">
        <f t="shared" si="4"/>
        <v>3943.26</v>
      </c>
      <c r="G155" s="8" t="s">
        <v>63</v>
      </c>
    </row>
    <row r="156" ht="30" customHeight="1" spans="1:7">
      <c r="A156" s="5">
        <v>135</v>
      </c>
      <c r="B156" s="82" t="s">
        <v>132</v>
      </c>
      <c r="C156" s="5" t="s">
        <v>56</v>
      </c>
      <c r="D156" s="8">
        <f>1*4</f>
        <v>4</v>
      </c>
      <c r="E156" s="8">
        <v>200</v>
      </c>
      <c r="F156" s="8">
        <f t="shared" si="4"/>
        <v>800</v>
      </c>
      <c r="G156" s="8" t="s">
        <v>51</v>
      </c>
    </row>
    <row r="157" ht="24" customHeight="1" spans="1:7">
      <c r="A157" s="5">
        <v>136</v>
      </c>
      <c r="B157" s="82" t="s">
        <v>66</v>
      </c>
      <c r="C157" s="5" t="s">
        <v>45</v>
      </c>
      <c r="D157" s="8">
        <f>D159*0.1</f>
        <v>16.638</v>
      </c>
      <c r="E157" s="8">
        <v>380</v>
      </c>
      <c r="F157" s="8">
        <f t="shared" si="4"/>
        <v>6322.44</v>
      </c>
      <c r="G157" s="8" t="s">
        <v>46</v>
      </c>
    </row>
    <row r="158" ht="24" customHeight="1" spans="1:7">
      <c r="A158" s="5">
        <v>137</v>
      </c>
      <c r="B158" s="82" t="s">
        <v>67</v>
      </c>
      <c r="C158" s="5" t="s">
        <v>45</v>
      </c>
      <c r="D158" s="8">
        <f>D159*0.1</f>
        <v>16.638</v>
      </c>
      <c r="E158" s="8">
        <v>110</v>
      </c>
      <c r="F158" s="8">
        <f t="shared" si="4"/>
        <v>1830.18</v>
      </c>
      <c r="G158" s="8" t="s">
        <v>46</v>
      </c>
    </row>
    <row r="159" ht="24" customHeight="1" spans="1:7">
      <c r="A159" s="5">
        <v>138</v>
      </c>
      <c r="B159" s="82" t="s">
        <v>68</v>
      </c>
      <c r="C159" s="5" t="s">
        <v>39</v>
      </c>
      <c r="D159" s="8">
        <f>D152+D153+D154+D155+D156*1.5*0.9</f>
        <v>166.38</v>
      </c>
      <c r="E159" s="8">
        <v>2.5</v>
      </c>
      <c r="F159" s="8">
        <f t="shared" si="4"/>
        <v>415.95</v>
      </c>
      <c r="G159" s="8" t="s">
        <v>46</v>
      </c>
    </row>
    <row r="160" ht="24" customHeight="1" spans="1:7">
      <c r="A160" s="132"/>
      <c r="B160" s="133" t="s">
        <v>133</v>
      </c>
      <c r="C160" s="132" t="s">
        <v>134</v>
      </c>
      <c r="D160" s="8"/>
      <c r="E160" s="8"/>
      <c r="F160" s="8"/>
      <c r="G160" s="8"/>
    </row>
    <row r="161" ht="24" customHeight="1" spans="1:7">
      <c r="A161" s="5">
        <v>139</v>
      </c>
      <c r="B161" s="82" t="s">
        <v>116</v>
      </c>
      <c r="C161" s="5" t="s">
        <v>39</v>
      </c>
      <c r="D161" s="8">
        <f>(26.46-20.52)*2</f>
        <v>11.88</v>
      </c>
      <c r="E161" s="8">
        <v>57</v>
      </c>
      <c r="F161" s="8">
        <f t="shared" si="4"/>
        <v>677.16</v>
      </c>
      <c r="G161" s="8" t="s">
        <v>63</v>
      </c>
    </row>
    <row r="162" ht="24" customHeight="1" spans="1:7">
      <c r="A162" s="5">
        <v>140</v>
      </c>
      <c r="B162" s="82" t="s">
        <v>70</v>
      </c>
      <c r="C162" s="5" t="s">
        <v>39</v>
      </c>
      <c r="D162" s="8">
        <f>(29.7-26.46)*2+(20.52-17.82)*2</f>
        <v>11.88</v>
      </c>
      <c r="E162" s="8">
        <v>57</v>
      </c>
      <c r="F162" s="8">
        <f t="shared" si="4"/>
        <v>677.16</v>
      </c>
      <c r="G162" s="8" t="s">
        <v>63</v>
      </c>
    </row>
    <row r="163" ht="24" customHeight="1" spans="1:7">
      <c r="A163" s="5">
        <v>141</v>
      </c>
      <c r="B163" s="82" t="s">
        <v>114</v>
      </c>
      <c r="C163" s="5" t="s">
        <v>39</v>
      </c>
      <c r="D163" s="8">
        <f>(17.82-2.1*1.2)*2+8.64*4</f>
        <v>65.16</v>
      </c>
      <c r="E163" s="8">
        <v>57</v>
      </c>
      <c r="F163" s="8">
        <f t="shared" si="4"/>
        <v>3714.12</v>
      </c>
      <c r="G163" s="8" t="s">
        <v>63</v>
      </c>
    </row>
    <row r="164" ht="32" customHeight="1" spans="1:7">
      <c r="A164" s="5">
        <v>142</v>
      </c>
      <c r="B164" s="82" t="s">
        <v>132</v>
      </c>
      <c r="C164" s="5" t="s">
        <v>56</v>
      </c>
      <c r="D164" s="8">
        <v>2</v>
      </c>
      <c r="E164" s="8">
        <v>200</v>
      </c>
      <c r="F164" s="8">
        <f t="shared" ref="F164:F179" si="5">D164*E164</f>
        <v>400</v>
      </c>
      <c r="G164" s="8" t="s">
        <v>51</v>
      </c>
    </row>
    <row r="165" ht="24" customHeight="1" spans="1:7">
      <c r="A165" s="5">
        <v>143</v>
      </c>
      <c r="B165" s="82" t="s">
        <v>66</v>
      </c>
      <c r="C165" s="5" t="s">
        <v>45</v>
      </c>
      <c r="D165" s="8">
        <f>0.1*D167</f>
        <v>9.396</v>
      </c>
      <c r="E165" s="8">
        <v>380</v>
      </c>
      <c r="F165" s="8">
        <f t="shared" si="5"/>
        <v>3570.48</v>
      </c>
      <c r="G165" s="8" t="s">
        <v>46</v>
      </c>
    </row>
    <row r="166" ht="24" customHeight="1" spans="1:7">
      <c r="A166" s="5">
        <v>144</v>
      </c>
      <c r="B166" s="82" t="s">
        <v>67</v>
      </c>
      <c r="C166" s="5" t="s">
        <v>45</v>
      </c>
      <c r="D166" s="8">
        <f>0.1*D167</f>
        <v>9.396</v>
      </c>
      <c r="E166" s="8">
        <v>110</v>
      </c>
      <c r="F166" s="8">
        <f t="shared" si="5"/>
        <v>1033.56</v>
      </c>
      <c r="G166" s="8" t="s">
        <v>46</v>
      </c>
    </row>
    <row r="167" ht="24" customHeight="1" spans="1:7">
      <c r="A167" s="5">
        <v>145</v>
      </c>
      <c r="B167" s="82" t="s">
        <v>68</v>
      </c>
      <c r="C167" s="5" t="s">
        <v>39</v>
      </c>
      <c r="D167" s="8">
        <f>SUM(D161:D163)+2.1*1.2*2</f>
        <v>93.96</v>
      </c>
      <c r="E167" s="8">
        <v>2.5</v>
      </c>
      <c r="F167" s="8">
        <f t="shared" si="5"/>
        <v>234.9</v>
      </c>
      <c r="G167" s="8" t="s">
        <v>46</v>
      </c>
    </row>
    <row r="168" ht="24" customHeight="1" spans="1:7">
      <c r="A168" s="132"/>
      <c r="B168" s="133" t="s">
        <v>135</v>
      </c>
      <c r="C168" s="132" t="s">
        <v>136</v>
      </c>
      <c r="D168" s="8">
        <f>1.76*14</f>
        <v>24.64</v>
      </c>
      <c r="E168" s="8"/>
      <c r="F168" s="8"/>
      <c r="G168" s="8"/>
    </row>
    <row r="169" ht="24" customHeight="1" spans="1:7">
      <c r="A169" s="5">
        <v>146</v>
      </c>
      <c r="B169" s="82" t="s">
        <v>137</v>
      </c>
      <c r="C169" s="5" t="s">
        <v>39</v>
      </c>
      <c r="D169" s="8">
        <f>(1.56-0.06*2)*14</f>
        <v>20.16</v>
      </c>
      <c r="E169" s="8">
        <v>57</v>
      </c>
      <c r="F169" s="8">
        <f t="shared" si="5"/>
        <v>1149.12</v>
      </c>
      <c r="G169" s="8" t="s">
        <v>63</v>
      </c>
    </row>
    <row r="170" ht="24" customHeight="1" spans="1:7">
      <c r="A170" s="5">
        <v>147</v>
      </c>
      <c r="B170" s="82" t="s">
        <v>138</v>
      </c>
      <c r="C170" s="5" t="s">
        <v>39</v>
      </c>
      <c r="D170" s="8">
        <f>14*0.195</f>
        <v>2.73</v>
      </c>
      <c r="E170" s="8">
        <v>57</v>
      </c>
      <c r="F170" s="8">
        <f t="shared" si="5"/>
        <v>155.61</v>
      </c>
      <c r="G170" s="8" t="s">
        <v>51</v>
      </c>
    </row>
    <row r="171" ht="24" customHeight="1" spans="1:7">
      <c r="A171" s="5">
        <v>148</v>
      </c>
      <c r="B171" s="82" t="s">
        <v>139</v>
      </c>
      <c r="C171" s="5" t="s">
        <v>39</v>
      </c>
      <c r="D171" s="8">
        <f>0.06*2*14</f>
        <v>1.68</v>
      </c>
      <c r="E171" s="8">
        <v>92</v>
      </c>
      <c r="F171" s="8">
        <f t="shared" si="5"/>
        <v>154.56</v>
      </c>
      <c r="G171" s="8" t="s">
        <v>63</v>
      </c>
    </row>
    <row r="172" ht="24" customHeight="1" spans="1:7">
      <c r="A172" s="5">
        <v>149</v>
      </c>
      <c r="B172" s="82" t="s">
        <v>66</v>
      </c>
      <c r="C172" s="5" t="s">
        <v>45</v>
      </c>
      <c r="D172" s="8">
        <f>0.1*D174</f>
        <v>2.457</v>
      </c>
      <c r="E172" s="8">
        <v>380</v>
      </c>
      <c r="F172" s="8">
        <f t="shared" si="5"/>
        <v>933.66</v>
      </c>
      <c r="G172" s="8" t="s">
        <v>46</v>
      </c>
    </row>
    <row r="173" ht="24" customHeight="1" spans="1:7">
      <c r="A173" s="5">
        <v>150</v>
      </c>
      <c r="B173" s="82" t="s">
        <v>67</v>
      </c>
      <c r="C173" s="5" t="s">
        <v>45</v>
      </c>
      <c r="D173" s="8">
        <f>0.1*D174</f>
        <v>2.457</v>
      </c>
      <c r="E173" s="8">
        <v>110</v>
      </c>
      <c r="F173" s="8">
        <f t="shared" si="5"/>
        <v>270.27</v>
      </c>
      <c r="G173" s="8" t="s">
        <v>46</v>
      </c>
    </row>
    <row r="174" ht="24" customHeight="1" spans="1:7">
      <c r="A174" s="5">
        <v>151</v>
      </c>
      <c r="B174" s="82" t="s">
        <v>68</v>
      </c>
      <c r="C174" s="5" t="s">
        <v>39</v>
      </c>
      <c r="D174" s="8">
        <f>SUM(D169:D171)</f>
        <v>24.57</v>
      </c>
      <c r="E174" s="8">
        <v>2.5</v>
      </c>
      <c r="F174" s="8">
        <f t="shared" si="5"/>
        <v>61.425</v>
      </c>
      <c r="G174" s="8" t="s">
        <v>46</v>
      </c>
    </row>
    <row r="175" ht="24" customHeight="1" spans="1:7">
      <c r="A175" s="132"/>
      <c r="B175" s="133" t="s">
        <v>140</v>
      </c>
      <c r="C175" s="132" t="s">
        <v>141</v>
      </c>
      <c r="D175" s="8">
        <f>16*7+32+21+4*6+9+2+4*6</f>
        <v>224</v>
      </c>
      <c r="E175" s="8"/>
      <c r="F175" s="8"/>
      <c r="G175" s="8"/>
    </row>
    <row r="176" ht="24" customHeight="1" spans="1:7">
      <c r="A176" s="5">
        <v>152</v>
      </c>
      <c r="B176" s="82" t="s">
        <v>142</v>
      </c>
      <c r="C176" s="5" t="s">
        <v>39</v>
      </c>
      <c r="D176" s="8">
        <f>0.8*0.4*224</f>
        <v>71.68</v>
      </c>
      <c r="E176" s="8">
        <v>57</v>
      </c>
      <c r="F176" s="8">
        <f t="shared" si="5"/>
        <v>4085.76</v>
      </c>
      <c r="G176" s="8" t="s">
        <v>51</v>
      </c>
    </row>
    <row r="177" ht="24" customHeight="1" spans="1:7">
      <c r="A177" s="5">
        <v>153</v>
      </c>
      <c r="B177" s="82" t="s">
        <v>143</v>
      </c>
      <c r="C177" s="5" t="s">
        <v>45</v>
      </c>
      <c r="D177" s="8">
        <f>D176*0.06</f>
        <v>4.3008</v>
      </c>
      <c r="E177" s="8">
        <v>370</v>
      </c>
      <c r="F177" s="8">
        <f t="shared" si="5"/>
        <v>1591.296</v>
      </c>
      <c r="G177" s="8" t="s">
        <v>46</v>
      </c>
    </row>
    <row r="178" ht="24" customHeight="1" spans="1:7">
      <c r="A178" s="5">
        <v>154</v>
      </c>
      <c r="B178" s="82" t="s">
        <v>67</v>
      </c>
      <c r="C178" s="5" t="s">
        <v>45</v>
      </c>
      <c r="D178" s="8">
        <f>D176*0.1</f>
        <v>7.168</v>
      </c>
      <c r="E178" s="8">
        <v>110</v>
      </c>
      <c r="F178" s="8">
        <f t="shared" si="5"/>
        <v>788.48</v>
      </c>
      <c r="G178" s="8" t="s">
        <v>46</v>
      </c>
    </row>
    <row r="179" ht="24" customHeight="1" spans="1:7">
      <c r="A179" s="5">
        <v>155</v>
      </c>
      <c r="B179" s="82" t="s">
        <v>144</v>
      </c>
      <c r="C179" s="5" t="s">
        <v>39</v>
      </c>
      <c r="D179" s="8">
        <f>D176</f>
        <v>71.68</v>
      </c>
      <c r="E179" s="8">
        <v>2.5</v>
      </c>
      <c r="F179" s="8">
        <f t="shared" si="5"/>
        <v>179.2</v>
      </c>
      <c r="G179" s="8" t="s">
        <v>46</v>
      </c>
    </row>
    <row r="180" ht="24" customHeight="1" spans="1:8">
      <c r="A180" s="12"/>
      <c r="B180" s="13" t="s">
        <v>59</v>
      </c>
      <c r="C180" s="12"/>
      <c r="D180" s="8"/>
      <c r="E180" s="21"/>
      <c r="F180" s="21">
        <f>SUM(F4:F179)</f>
        <v>1107258.5533545</v>
      </c>
      <c r="G180" s="21"/>
      <c r="H180" s="131"/>
    </row>
    <row r="181" ht="24" customHeight="1"/>
    <row r="182" ht="24" customHeight="1"/>
    <row r="183" ht="24" customHeight="1"/>
  </sheetData>
  <sheetProtection password="C71F" sheet="1" objects="1"/>
  <autoFilter ref="A2:N180">
    <extLst/>
  </autoFilter>
  <mergeCells count="1">
    <mergeCell ref="A1:G1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26"/>
  <sheetViews>
    <sheetView zoomScale="85" zoomScaleNormal="85" workbookViewId="0">
      <pane ySplit="2" topLeftCell="A305" activePane="bottomLeft" state="frozen"/>
      <selection/>
      <selection pane="bottomLeft" activeCell="H320" sqref="H320"/>
    </sheetView>
  </sheetViews>
  <sheetFormatPr defaultColWidth="9" defaultRowHeight="13.5"/>
  <cols>
    <col min="1" max="1" width="6.73333333333333" style="58" customWidth="1"/>
    <col min="2" max="2" width="17.4" style="75" customWidth="1"/>
    <col min="3" max="3" width="40.4" style="58" customWidth="1"/>
    <col min="4" max="4" width="6.73333333333333" style="59" customWidth="1"/>
    <col min="5" max="5" width="13.375" style="60" customWidth="1"/>
    <col min="6" max="8" width="17.35" style="60" customWidth="1"/>
    <col min="9" max="9" width="18.825" style="76" customWidth="1"/>
    <col min="10" max="10" width="12.625" style="62"/>
    <col min="11" max="11" width="9" style="62"/>
    <col min="12" max="12" width="28.9333333333333" style="62" customWidth="1"/>
    <col min="13" max="13" width="9" style="62"/>
    <col min="14" max="14" width="12.2" style="62" customWidth="1"/>
    <col min="15" max="15" width="13.75" style="62"/>
    <col min="16" max="16384" width="9" style="62"/>
  </cols>
  <sheetData>
    <row r="1" ht="49" customHeight="1" spans="1:9">
      <c r="A1" s="4" t="s">
        <v>145</v>
      </c>
      <c r="B1" s="4"/>
      <c r="C1" s="4"/>
      <c r="D1" s="4"/>
      <c r="E1" s="4"/>
      <c r="F1" s="4"/>
      <c r="G1" s="4"/>
      <c r="H1" s="4"/>
      <c r="I1" s="4"/>
    </row>
    <row r="2" ht="27" spans="1:9">
      <c r="A2" s="66" t="s">
        <v>1</v>
      </c>
      <c r="B2" s="77" t="s">
        <v>27</v>
      </c>
      <c r="C2" s="66" t="s">
        <v>146</v>
      </c>
      <c r="D2" s="63" t="s">
        <v>147</v>
      </c>
      <c r="E2" s="78" t="s">
        <v>29</v>
      </c>
      <c r="F2" s="21" t="s">
        <v>30</v>
      </c>
      <c r="G2" s="21" t="s">
        <v>31</v>
      </c>
      <c r="H2" s="63" t="s">
        <v>148</v>
      </c>
      <c r="I2" s="63" t="s">
        <v>149</v>
      </c>
    </row>
    <row r="3" ht="138" customHeight="1" spans="1:9">
      <c r="A3" s="66">
        <v>1</v>
      </c>
      <c r="B3" s="79" t="s">
        <v>150</v>
      </c>
      <c r="C3" s="66" t="s">
        <v>151</v>
      </c>
      <c r="D3" s="67" t="s">
        <v>39</v>
      </c>
      <c r="E3" s="64"/>
      <c r="F3" s="64"/>
      <c r="G3" s="64"/>
      <c r="H3" s="64"/>
      <c r="I3" s="69"/>
    </row>
    <row r="4" ht="27" customHeight="1" spans="1:9">
      <c r="A4" s="66"/>
      <c r="B4" s="80"/>
      <c r="C4" s="66" t="s">
        <v>152</v>
      </c>
      <c r="D4" s="67" t="s">
        <v>35</v>
      </c>
      <c r="E4" s="64">
        <f>13.4*5+6.1*7</f>
        <v>109.7</v>
      </c>
      <c r="F4" s="64">
        <v>10</v>
      </c>
      <c r="G4" s="64">
        <f>E4*F4</f>
        <v>1097</v>
      </c>
      <c r="H4" s="81" t="s">
        <v>46</v>
      </c>
      <c r="I4" s="95"/>
    </row>
    <row r="5" ht="19.05" customHeight="1" spans="1:9">
      <c r="A5" s="66"/>
      <c r="B5" s="80"/>
      <c r="C5" s="66" t="s">
        <v>153</v>
      </c>
      <c r="D5" s="67" t="s">
        <v>39</v>
      </c>
      <c r="E5" s="64">
        <f t="shared" ref="E5:E7" si="0">17.6*10.1</f>
        <v>177.76</v>
      </c>
      <c r="F5" s="64">
        <v>145</v>
      </c>
      <c r="G5" s="64">
        <f t="shared" ref="G5:G68" si="1">E5*F5</f>
        <v>25775.2</v>
      </c>
      <c r="H5" s="81" t="s">
        <v>46</v>
      </c>
      <c r="I5" s="69"/>
    </row>
    <row r="6" ht="19.05" customHeight="1" spans="1:9">
      <c r="A6" s="66"/>
      <c r="B6" s="80"/>
      <c r="C6" s="66" t="s">
        <v>154</v>
      </c>
      <c r="D6" s="67" t="s">
        <v>39</v>
      </c>
      <c r="E6" s="64">
        <f t="shared" si="0"/>
        <v>177.76</v>
      </c>
      <c r="F6" s="64">
        <v>12</v>
      </c>
      <c r="G6" s="64">
        <f t="shared" si="1"/>
        <v>2133.12</v>
      </c>
      <c r="H6" s="81" t="s">
        <v>46</v>
      </c>
      <c r="I6" s="69"/>
    </row>
    <row r="7" ht="19.05" customHeight="1" spans="1:9">
      <c r="A7" s="66"/>
      <c r="B7" s="80"/>
      <c r="C7" s="82" t="s">
        <v>87</v>
      </c>
      <c r="D7" s="67" t="s">
        <v>39</v>
      </c>
      <c r="E7" s="64">
        <f t="shared" si="0"/>
        <v>177.76</v>
      </c>
      <c r="F7" s="64">
        <v>15</v>
      </c>
      <c r="G7" s="64">
        <f t="shared" si="1"/>
        <v>2666.4</v>
      </c>
      <c r="H7" s="81" t="s">
        <v>46</v>
      </c>
      <c r="I7" s="69"/>
    </row>
    <row r="8" ht="19.05" customHeight="1" spans="1:9">
      <c r="A8" s="66"/>
      <c r="B8" s="80"/>
      <c r="C8" s="82" t="s">
        <v>155</v>
      </c>
      <c r="D8" s="67" t="s">
        <v>45</v>
      </c>
      <c r="E8" s="64">
        <f>E7*0.1</f>
        <v>17.776</v>
      </c>
      <c r="F8" s="64">
        <v>380</v>
      </c>
      <c r="G8" s="64">
        <f t="shared" si="1"/>
        <v>6754.88</v>
      </c>
      <c r="H8" s="81" t="s">
        <v>46</v>
      </c>
      <c r="I8" s="69"/>
    </row>
    <row r="9" ht="19.05" customHeight="1" spans="1:9">
      <c r="A9" s="66"/>
      <c r="B9" s="80"/>
      <c r="C9" s="82" t="s">
        <v>67</v>
      </c>
      <c r="D9" s="67" t="s">
        <v>45</v>
      </c>
      <c r="E9" s="64">
        <f>E7*0.1</f>
        <v>17.776</v>
      </c>
      <c r="F9" s="64">
        <v>110</v>
      </c>
      <c r="G9" s="64">
        <f t="shared" si="1"/>
        <v>1955.36</v>
      </c>
      <c r="H9" s="81" t="s">
        <v>46</v>
      </c>
      <c r="I9" s="69"/>
    </row>
    <row r="10" ht="19.05" customHeight="1" spans="1:9">
      <c r="A10" s="66"/>
      <c r="B10" s="80"/>
      <c r="C10" s="82" t="s">
        <v>68</v>
      </c>
      <c r="D10" s="67" t="s">
        <v>39</v>
      </c>
      <c r="E10" s="64">
        <f>17.6*10.1</f>
        <v>177.76</v>
      </c>
      <c r="F10" s="64">
        <v>2.5</v>
      </c>
      <c r="G10" s="64">
        <f t="shared" si="1"/>
        <v>444.4</v>
      </c>
      <c r="H10" s="81" t="s">
        <v>46</v>
      </c>
      <c r="I10" s="69"/>
    </row>
    <row r="11" ht="48" customHeight="1" spans="1:9">
      <c r="A11" s="66"/>
      <c r="B11" s="77" t="s">
        <v>156</v>
      </c>
      <c r="C11" s="66" t="s">
        <v>157</v>
      </c>
      <c r="D11" s="67" t="s">
        <v>39</v>
      </c>
      <c r="E11" s="64">
        <f>0.25*17.6</f>
        <v>4.4</v>
      </c>
      <c r="F11" s="64">
        <v>45</v>
      </c>
      <c r="G11" s="64">
        <f t="shared" si="1"/>
        <v>198</v>
      </c>
      <c r="H11" s="81" t="s">
        <v>51</v>
      </c>
      <c r="I11" s="69"/>
    </row>
    <row r="12" ht="24" customHeight="1" spans="1:9">
      <c r="A12" s="66"/>
      <c r="B12" s="77"/>
      <c r="C12" s="66" t="s">
        <v>158</v>
      </c>
      <c r="D12" s="67" t="s">
        <v>45</v>
      </c>
      <c r="E12" s="64">
        <f>(0.2*0.15+0.1*0.45+0.2*0.15)*17.6</f>
        <v>1.848</v>
      </c>
      <c r="F12" s="64">
        <v>520</v>
      </c>
      <c r="G12" s="64">
        <f t="shared" si="1"/>
        <v>960.96</v>
      </c>
      <c r="H12" s="81" t="s">
        <v>46</v>
      </c>
      <c r="I12" s="69"/>
    </row>
    <row r="13" ht="24" customHeight="1" spans="1:9">
      <c r="A13" s="66"/>
      <c r="B13" s="77"/>
      <c r="C13" s="66" t="s">
        <v>159</v>
      </c>
      <c r="D13" s="67" t="s">
        <v>160</v>
      </c>
      <c r="E13" s="68">
        <f>((1.05+0.6)*(17.6/0.15+1)+14*17.6)*8*8*0.00617/1000</f>
        <v>0.174398752</v>
      </c>
      <c r="F13" s="64">
        <v>4900</v>
      </c>
      <c r="G13" s="64">
        <f t="shared" si="1"/>
        <v>854.5538848</v>
      </c>
      <c r="H13" s="81" t="s">
        <v>46</v>
      </c>
      <c r="I13" s="69"/>
    </row>
    <row r="14" ht="24" customHeight="1" spans="1:9">
      <c r="A14" s="66"/>
      <c r="B14" s="77"/>
      <c r="C14" s="66" t="s">
        <v>161</v>
      </c>
      <c r="D14" s="67" t="s">
        <v>35</v>
      </c>
      <c r="E14" s="64">
        <f>0.42*2</f>
        <v>0.84</v>
      </c>
      <c r="F14" s="64">
        <v>95</v>
      </c>
      <c r="G14" s="64">
        <f t="shared" si="1"/>
        <v>79.8</v>
      </c>
      <c r="H14" s="81" t="s">
        <v>46</v>
      </c>
      <c r="I14" s="69"/>
    </row>
    <row r="15" ht="24" customHeight="1" spans="1:9">
      <c r="A15" s="66"/>
      <c r="B15" s="77"/>
      <c r="C15" s="66" t="s">
        <v>162</v>
      </c>
      <c r="D15" s="67" t="s">
        <v>163</v>
      </c>
      <c r="E15" s="64">
        <v>2</v>
      </c>
      <c r="F15" s="64">
        <v>200</v>
      </c>
      <c r="G15" s="64">
        <f t="shared" si="1"/>
        <v>400</v>
      </c>
      <c r="H15" s="81" t="s">
        <v>46</v>
      </c>
      <c r="I15" s="69"/>
    </row>
    <row r="16" ht="35" customHeight="1" spans="1:9">
      <c r="A16" s="66">
        <v>2</v>
      </c>
      <c r="B16" s="79" t="s">
        <v>164</v>
      </c>
      <c r="C16" s="66" t="s">
        <v>165</v>
      </c>
      <c r="D16" s="67" t="s">
        <v>45</v>
      </c>
      <c r="E16" s="64">
        <f>(13.8+24.6)*2*0.96*0.8+1.56*1.56*0.8*4</f>
        <v>66.76992</v>
      </c>
      <c r="F16" s="64">
        <v>10</v>
      </c>
      <c r="G16" s="64">
        <f t="shared" si="1"/>
        <v>667.6992</v>
      </c>
      <c r="H16" s="81" t="s">
        <v>46</v>
      </c>
      <c r="I16" s="69"/>
    </row>
    <row r="17" ht="35" customHeight="1" spans="1:9">
      <c r="A17" s="66"/>
      <c r="B17" s="77"/>
      <c r="C17" s="66" t="s">
        <v>166</v>
      </c>
      <c r="D17" s="67" t="s">
        <v>45</v>
      </c>
      <c r="E17" s="64">
        <f>66.77-8.35-8.35-36.95</f>
        <v>13.12</v>
      </c>
      <c r="F17" s="64">
        <v>10</v>
      </c>
      <c r="G17" s="64">
        <f t="shared" si="1"/>
        <v>131.2</v>
      </c>
      <c r="H17" s="81" t="s">
        <v>46</v>
      </c>
      <c r="I17" s="69"/>
    </row>
    <row r="18" ht="35" customHeight="1" spans="1:9">
      <c r="A18" s="66"/>
      <c r="B18" s="77"/>
      <c r="C18" s="66" t="s">
        <v>167</v>
      </c>
      <c r="D18" s="67" t="s">
        <v>39</v>
      </c>
      <c r="E18" s="64">
        <f>1.56*1.56*4+0.96*(24.6+13.8)*2</f>
        <v>83.4624</v>
      </c>
      <c r="F18" s="64">
        <v>2.5</v>
      </c>
      <c r="G18" s="64">
        <f t="shared" si="1"/>
        <v>208.656</v>
      </c>
      <c r="H18" s="81" t="s">
        <v>46</v>
      </c>
      <c r="I18" s="69"/>
    </row>
    <row r="19" ht="35" customHeight="1" spans="1:9">
      <c r="A19" s="66"/>
      <c r="B19" s="77"/>
      <c r="C19" s="66" t="s">
        <v>67</v>
      </c>
      <c r="D19" s="67" t="s">
        <v>45</v>
      </c>
      <c r="E19" s="64">
        <f>1.56*1.56*0.1*4+0.96*(24.6+13.8)*2*0.1</f>
        <v>8.34624</v>
      </c>
      <c r="F19" s="64">
        <v>110</v>
      </c>
      <c r="G19" s="64">
        <f t="shared" si="1"/>
        <v>918.0864</v>
      </c>
      <c r="H19" s="81" t="s">
        <v>46</v>
      </c>
      <c r="I19" s="69"/>
    </row>
    <row r="20" ht="35" customHeight="1" spans="1:9">
      <c r="A20" s="66"/>
      <c r="B20" s="77"/>
      <c r="C20" s="66" t="s">
        <v>168</v>
      </c>
      <c r="D20" s="67" t="s">
        <v>45</v>
      </c>
      <c r="E20" s="64">
        <f>1.56*1.56*0.1*4+0.96*(24.6+13.8)*2*0.1</f>
        <v>8.34624</v>
      </c>
      <c r="F20" s="64">
        <v>370</v>
      </c>
      <c r="G20" s="64">
        <f t="shared" si="1"/>
        <v>3088.1088</v>
      </c>
      <c r="H20" s="81" t="s">
        <v>46</v>
      </c>
      <c r="I20" s="69"/>
    </row>
    <row r="21" ht="35" customHeight="1" spans="1:9">
      <c r="A21" s="66"/>
      <c r="B21" s="66"/>
      <c r="C21" s="66" t="s">
        <v>169</v>
      </c>
      <c r="D21" s="68" t="s">
        <v>45</v>
      </c>
      <c r="E21" s="64">
        <f>(1.36*1.36*0.12+1.24*1.24*0.12+1.12*1.12*0.49)*4+(24.6+13.8)*2*(0.76*0.12+0.64*0.12+0.52*0.5)</f>
        <v>36.95488</v>
      </c>
      <c r="F21" s="64">
        <v>570</v>
      </c>
      <c r="G21" s="64">
        <f t="shared" si="1"/>
        <v>21064.2816</v>
      </c>
      <c r="H21" s="81" t="s">
        <v>46</v>
      </c>
      <c r="I21" s="69"/>
    </row>
    <row r="22" ht="35" customHeight="1" spans="1:9">
      <c r="A22" s="66"/>
      <c r="B22" s="77"/>
      <c r="C22" s="66" t="s">
        <v>170</v>
      </c>
      <c r="D22" s="67" t="s">
        <v>39</v>
      </c>
      <c r="E22" s="64">
        <f>5.76+46.08+14.59</f>
        <v>66.43</v>
      </c>
      <c r="F22" s="64">
        <v>20</v>
      </c>
      <c r="G22" s="64">
        <f t="shared" si="1"/>
        <v>1328.6</v>
      </c>
      <c r="H22" s="81" t="s">
        <v>46</v>
      </c>
      <c r="I22" s="69"/>
    </row>
    <row r="23" ht="35" customHeight="1" spans="1:9">
      <c r="A23" s="66"/>
      <c r="B23" s="77" t="s">
        <v>171</v>
      </c>
      <c r="C23" s="66" t="s">
        <v>172</v>
      </c>
      <c r="D23" s="67" t="s">
        <v>39</v>
      </c>
      <c r="E23" s="64">
        <f>1.2*1.2*4</f>
        <v>5.76</v>
      </c>
      <c r="F23" s="64">
        <v>92</v>
      </c>
      <c r="G23" s="64">
        <f t="shared" si="1"/>
        <v>529.92</v>
      </c>
      <c r="H23" s="81" t="s">
        <v>51</v>
      </c>
      <c r="I23" s="69"/>
    </row>
    <row r="24" ht="154" customHeight="1" spans="1:9">
      <c r="A24" s="66"/>
      <c r="B24" s="77" t="s">
        <v>173</v>
      </c>
      <c r="C24" s="69" t="s">
        <v>174</v>
      </c>
      <c r="D24" s="67" t="s">
        <v>175</v>
      </c>
      <c r="E24" s="64">
        <v>4</v>
      </c>
      <c r="F24" s="64">
        <v>200</v>
      </c>
      <c r="G24" s="64">
        <f t="shared" si="1"/>
        <v>800</v>
      </c>
      <c r="H24" s="81" t="s">
        <v>176</v>
      </c>
      <c r="I24" s="69" t="s">
        <v>177</v>
      </c>
    </row>
    <row r="25" ht="45" customHeight="1" spans="1:9">
      <c r="A25" s="66"/>
      <c r="B25" s="77" t="s">
        <v>171</v>
      </c>
      <c r="C25" s="66" t="s">
        <v>178</v>
      </c>
      <c r="D25" s="67" t="s">
        <v>39</v>
      </c>
      <c r="E25" s="64">
        <f>0.6*(24.6+13.8)*2</f>
        <v>46.08</v>
      </c>
      <c r="F25" s="64">
        <v>67</v>
      </c>
      <c r="G25" s="64">
        <f t="shared" si="1"/>
        <v>3087.36</v>
      </c>
      <c r="H25" s="81" t="s">
        <v>51</v>
      </c>
      <c r="I25" s="69"/>
    </row>
    <row r="26" ht="45" customHeight="1" spans="1:9">
      <c r="A26" s="66"/>
      <c r="B26" s="77" t="s">
        <v>179</v>
      </c>
      <c r="C26" s="66" t="s">
        <v>180</v>
      </c>
      <c r="D26" s="67" t="s">
        <v>39</v>
      </c>
      <c r="E26" s="64">
        <f>(0.1+0.09)*(24.6+13.8)*2</f>
        <v>14.592</v>
      </c>
      <c r="F26" s="64">
        <v>72</v>
      </c>
      <c r="G26" s="64">
        <f t="shared" si="1"/>
        <v>1050.624</v>
      </c>
      <c r="H26" s="81" t="s">
        <v>51</v>
      </c>
      <c r="I26" s="69"/>
    </row>
    <row r="27" ht="52" customHeight="1" spans="1:9">
      <c r="A27" s="66">
        <v>3</v>
      </c>
      <c r="B27" s="79" t="s">
        <v>181</v>
      </c>
      <c r="C27" s="66" t="s">
        <v>182</v>
      </c>
      <c r="D27" s="67" t="s">
        <v>39</v>
      </c>
      <c r="E27" s="64">
        <f>9.5+137.15+10.6+21.86+22.15</f>
        <v>201.26</v>
      </c>
      <c r="F27" s="64">
        <v>77.375</v>
      </c>
      <c r="G27" s="64">
        <f t="shared" si="1"/>
        <v>15572.4925</v>
      </c>
      <c r="H27" s="81" t="s">
        <v>46</v>
      </c>
      <c r="I27" s="69"/>
    </row>
    <row r="28" ht="37" customHeight="1" spans="1:9">
      <c r="A28" s="66"/>
      <c r="B28" s="77"/>
      <c r="C28" s="66" t="s">
        <v>167</v>
      </c>
      <c r="D28" s="67" t="s">
        <v>39</v>
      </c>
      <c r="E28" s="64">
        <v>201.26</v>
      </c>
      <c r="F28" s="64">
        <v>2.5</v>
      </c>
      <c r="G28" s="64">
        <f t="shared" si="1"/>
        <v>503.15</v>
      </c>
      <c r="H28" s="81" t="s">
        <v>46</v>
      </c>
      <c r="I28" s="69"/>
    </row>
    <row r="29" ht="37" customHeight="1" spans="1:9">
      <c r="A29" s="66"/>
      <c r="B29" s="77"/>
      <c r="C29" s="66" t="s">
        <v>67</v>
      </c>
      <c r="D29" s="67" t="s">
        <v>45</v>
      </c>
      <c r="E29" s="64">
        <f>201.26*0.1</f>
        <v>20.126</v>
      </c>
      <c r="F29" s="64">
        <v>110</v>
      </c>
      <c r="G29" s="64">
        <f t="shared" si="1"/>
        <v>2213.86</v>
      </c>
      <c r="H29" s="81" t="s">
        <v>46</v>
      </c>
      <c r="I29" s="69"/>
    </row>
    <row r="30" ht="37" customHeight="1" spans="1:9">
      <c r="A30" s="66"/>
      <c r="B30" s="77"/>
      <c r="C30" s="66" t="s">
        <v>183</v>
      </c>
      <c r="D30" s="67" t="s">
        <v>45</v>
      </c>
      <c r="E30" s="64">
        <f>201.26*0.07</f>
        <v>14.0882</v>
      </c>
      <c r="F30" s="64">
        <v>370</v>
      </c>
      <c r="G30" s="64">
        <f t="shared" si="1"/>
        <v>5212.634</v>
      </c>
      <c r="H30" s="81" t="s">
        <v>46</v>
      </c>
      <c r="I30" s="69"/>
    </row>
    <row r="31" ht="37" customHeight="1" spans="1:11">
      <c r="A31" s="66"/>
      <c r="B31" s="77"/>
      <c r="C31" s="66" t="s">
        <v>184</v>
      </c>
      <c r="D31" s="67" t="s">
        <v>45</v>
      </c>
      <c r="E31" s="64">
        <f>189.03/0.6*0.2*0.2*0.2</f>
        <v>2.5204</v>
      </c>
      <c r="F31" s="64">
        <v>520</v>
      </c>
      <c r="G31" s="64">
        <f t="shared" si="1"/>
        <v>1310.608</v>
      </c>
      <c r="H31" s="81" t="s">
        <v>46</v>
      </c>
      <c r="I31" s="69"/>
      <c r="J31" s="96"/>
      <c r="K31" s="97"/>
    </row>
    <row r="32" ht="67" customHeight="1" spans="1:11">
      <c r="A32" s="66"/>
      <c r="B32" s="77"/>
      <c r="C32" s="66" t="s">
        <v>185</v>
      </c>
      <c r="D32" s="67" t="s">
        <v>35</v>
      </c>
      <c r="E32" s="64">
        <f>5.28+9+39.5+30.2+8+17.85+10.81+10.5+21.13+36.76</f>
        <v>189.03</v>
      </c>
      <c r="F32" s="64">
        <v>48</v>
      </c>
      <c r="G32" s="64">
        <f t="shared" si="1"/>
        <v>9073.44</v>
      </c>
      <c r="H32" s="81" t="s">
        <v>46</v>
      </c>
      <c r="I32" s="66"/>
      <c r="J32" s="98"/>
      <c r="K32" s="97"/>
    </row>
    <row r="33" ht="22" customHeight="1" spans="1:11">
      <c r="A33" s="66"/>
      <c r="B33" s="77"/>
      <c r="C33" s="66"/>
      <c r="D33" s="67"/>
      <c r="E33" s="64"/>
      <c r="F33" s="64"/>
      <c r="G33" s="64"/>
      <c r="H33" s="81"/>
      <c r="I33" s="66"/>
      <c r="J33" s="97"/>
      <c r="K33" s="97"/>
    </row>
    <row r="34" ht="34" customHeight="1" spans="1:9">
      <c r="A34" s="66">
        <v>4</v>
      </c>
      <c r="B34" s="80" t="s">
        <v>186</v>
      </c>
      <c r="C34" s="66"/>
      <c r="D34" s="67"/>
      <c r="E34" s="64"/>
      <c r="F34" s="64"/>
      <c r="G34" s="64"/>
      <c r="H34" s="81"/>
      <c r="I34" s="69"/>
    </row>
    <row r="35" ht="30" customHeight="1" spans="1:9">
      <c r="A35" s="83"/>
      <c r="B35" s="84" t="s">
        <v>187</v>
      </c>
      <c r="C35" s="66" t="s">
        <v>188</v>
      </c>
      <c r="D35" s="67" t="s">
        <v>39</v>
      </c>
      <c r="E35" s="64">
        <v>23.05</v>
      </c>
      <c r="F35" s="64">
        <v>102</v>
      </c>
      <c r="G35" s="64">
        <f t="shared" si="1"/>
        <v>2351.1</v>
      </c>
      <c r="H35" s="81" t="s">
        <v>46</v>
      </c>
      <c r="I35" s="69"/>
    </row>
    <row r="36" ht="27" customHeight="1" spans="1:9">
      <c r="A36" s="66"/>
      <c r="B36" s="85"/>
      <c r="C36" s="66" t="s">
        <v>189</v>
      </c>
      <c r="D36" s="67" t="s">
        <v>39</v>
      </c>
      <c r="E36" s="64">
        <f>E35</f>
        <v>23.05</v>
      </c>
      <c r="F36" s="64">
        <v>2.5</v>
      </c>
      <c r="G36" s="64">
        <f t="shared" si="1"/>
        <v>57.625</v>
      </c>
      <c r="H36" s="81" t="s">
        <v>46</v>
      </c>
      <c r="I36" s="69"/>
    </row>
    <row r="37" ht="27" customHeight="1" spans="1:9">
      <c r="A37" s="66"/>
      <c r="B37" s="85"/>
      <c r="C37" s="66" t="s">
        <v>47</v>
      </c>
      <c r="D37" s="67" t="s">
        <v>45</v>
      </c>
      <c r="E37" s="64">
        <f>E35*0.1</f>
        <v>2.305</v>
      </c>
      <c r="F37" s="64">
        <v>110</v>
      </c>
      <c r="G37" s="64">
        <f t="shared" si="1"/>
        <v>253.55</v>
      </c>
      <c r="H37" s="81" t="s">
        <v>46</v>
      </c>
      <c r="I37" s="69"/>
    </row>
    <row r="38" ht="27" customHeight="1" spans="1:9">
      <c r="A38" s="66"/>
      <c r="B38" s="85"/>
      <c r="C38" s="66" t="s">
        <v>155</v>
      </c>
      <c r="D38" s="67" t="s">
        <v>45</v>
      </c>
      <c r="E38" s="64">
        <f>E35*0.1</f>
        <v>2.305</v>
      </c>
      <c r="F38" s="64">
        <v>380</v>
      </c>
      <c r="G38" s="64">
        <f t="shared" si="1"/>
        <v>875.9</v>
      </c>
      <c r="H38" s="81" t="s">
        <v>46</v>
      </c>
      <c r="I38" s="69"/>
    </row>
    <row r="39" s="72" customFormat="1" ht="27" customHeight="1" spans="1:15">
      <c r="A39" s="86"/>
      <c r="B39" s="85"/>
      <c r="C39" s="66" t="s">
        <v>190</v>
      </c>
      <c r="D39" s="67" t="s">
        <v>39</v>
      </c>
      <c r="E39" s="64">
        <f>E35</f>
        <v>23.05</v>
      </c>
      <c r="F39" s="64">
        <v>20</v>
      </c>
      <c r="G39" s="64">
        <f t="shared" si="1"/>
        <v>461</v>
      </c>
      <c r="H39" s="81" t="s">
        <v>46</v>
      </c>
      <c r="I39" s="69"/>
      <c r="J39" s="62"/>
      <c r="K39" s="62"/>
      <c r="L39" s="62"/>
      <c r="O39" s="62"/>
    </row>
    <row r="40" ht="33" customHeight="1" spans="1:9">
      <c r="A40" s="86"/>
      <c r="B40" s="87" t="s">
        <v>191</v>
      </c>
      <c r="C40" s="88" t="s">
        <v>192</v>
      </c>
      <c r="D40" s="67" t="s">
        <v>39</v>
      </c>
      <c r="E40" s="64">
        <f>20.07*0.3</f>
        <v>6.021</v>
      </c>
      <c r="F40" s="64">
        <v>67</v>
      </c>
      <c r="G40" s="64">
        <f t="shared" si="1"/>
        <v>403.407</v>
      </c>
      <c r="H40" s="81" t="s">
        <v>51</v>
      </c>
      <c r="I40" s="69"/>
    </row>
    <row r="41" ht="27" spans="1:9">
      <c r="A41" s="86"/>
      <c r="B41" s="89"/>
      <c r="C41" s="88" t="s">
        <v>193</v>
      </c>
      <c r="D41" s="67" t="s">
        <v>39</v>
      </c>
      <c r="E41" s="64">
        <f>19.09*0.67</f>
        <v>12.7903</v>
      </c>
      <c r="F41" s="64">
        <v>72</v>
      </c>
      <c r="G41" s="64">
        <f t="shared" si="1"/>
        <v>920.9016</v>
      </c>
      <c r="H41" s="81" t="s">
        <v>51</v>
      </c>
      <c r="I41" s="69"/>
    </row>
    <row r="42" spans="1:9">
      <c r="A42" s="86"/>
      <c r="B42" s="89"/>
      <c r="C42" s="66" t="s">
        <v>194</v>
      </c>
      <c r="D42" s="68" t="s">
        <v>45</v>
      </c>
      <c r="E42" s="64">
        <f>(0.365*0.12+0.24*0.79)*20.07</f>
        <v>4.684338</v>
      </c>
      <c r="F42" s="64">
        <v>570</v>
      </c>
      <c r="G42" s="64">
        <f t="shared" si="1"/>
        <v>2670.07266</v>
      </c>
      <c r="H42" s="81" t="s">
        <v>46</v>
      </c>
      <c r="I42" s="69"/>
    </row>
    <row r="43" spans="1:9">
      <c r="A43" s="86"/>
      <c r="B43" s="89"/>
      <c r="C43" s="66" t="s">
        <v>195</v>
      </c>
      <c r="D43" s="67" t="s">
        <v>45</v>
      </c>
      <c r="E43" s="64">
        <f>E45*0.1</f>
        <v>1.54299</v>
      </c>
      <c r="F43" s="64">
        <v>380</v>
      </c>
      <c r="G43" s="64">
        <f t="shared" si="1"/>
        <v>586.3362</v>
      </c>
      <c r="H43" s="81" t="s">
        <v>46</v>
      </c>
      <c r="I43" s="69"/>
    </row>
    <row r="44" ht="23" customHeight="1" spans="1:9">
      <c r="A44" s="86"/>
      <c r="B44" s="89"/>
      <c r="C44" s="66" t="s">
        <v>196</v>
      </c>
      <c r="D44" s="67" t="s">
        <v>45</v>
      </c>
      <c r="E44" s="64">
        <f>E45*0.1</f>
        <v>1.54299</v>
      </c>
      <c r="F44" s="64">
        <v>110</v>
      </c>
      <c r="G44" s="64">
        <f t="shared" si="1"/>
        <v>169.7289</v>
      </c>
      <c r="H44" s="81" t="s">
        <v>46</v>
      </c>
      <c r="I44" s="69"/>
    </row>
    <row r="45" ht="20" customHeight="1" spans="1:9">
      <c r="A45" s="90"/>
      <c r="B45" s="91"/>
      <c r="C45" s="66" t="s">
        <v>197</v>
      </c>
      <c r="D45" s="67" t="s">
        <v>39</v>
      </c>
      <c r="E45" s="64">
        <f>27.07*0.57</f>
        <v>15.4299</v>
      </c>
      <c r="F45" s="64">
        <v>2.5</v>
      </c>
      <c r="G45" s="64">
        <f t="shared" si="1"/>
        <v>38.57475</v>
      </c>
      <c r="H45" s="81" t="s">
        <v>46</v>
      </c>
      <c r="I45" s="69"/>
    </row>
    <row r="46" ht="19" customHeight="1" spans="1:9">
      <c r="A46" s="83"/>
      <c r="B46" s="87" t="s">
        <v>198</v>
      </c>
      <c r="C46" s="66" t="s">
        <v>199</v>
      </c>
      <c r="D46" s="67" t="s">
        <v>200</v>
      </c>
      <c r="E46" s="64">
        <v>2</v>
      </c>
      <c r="F46" s="64">
        <v>0</v>
      </c>
      <c r="G46" s="64">
        <f t="shared" si="1"/>
        <v>0</v>
      </c>
      <c r="H46" s="81" t="s">
        <v>201</v>
      </c>
      <c r="I46" s="69"/>
    </row>
    <row r="47" ht="27" customHeight="1" spans="1:9">
      <c r="A47" s="83"/>
      <c r="B47" s="87"/>
      <c r="C47" s="92" t="s">
        <v>202</v>
      </c>
      <c r="D47" s="5" t="s">
        <v>175</v>
      </c>
      <c r="E47" s="64">
        <v>2</v>
      </c>
      <c r="F47" s="64">
        <v>280</v>
      </c>
      <c r="G47" s="64">
        <f t="shared" si="1"/>
        <v>560</v>
      </c>
      <c r="H47" s="81" t="s">
        <v>201</v>
      </c>
      <c r="I47" s="69"/>
    </row>
    <row r="48" ht="25" customHeight="1" spans="1:9">
      <c r="A48" s="83"/>
      <c r="B48" s="87" t="s">
        <v>203</v>
      </c>
      <c r="C48" s="66" t="s">
        <v>165</v>
      </c>
      <c r="D48" s="67" t="s">
        <v>45</v>
      </c>
      <c r="E48" s="64">
        <f>0.7*1.3*23.365</f>
        <v>21.26215</v>
      </c>
      <c r="F48" s="64">
        <v>10</v>
      </c>
      <c r="G48" s="64">
        <f t="shared" si="1"/>
        <v>212.6215</v>
      </c>
      <c r="H48" s="81" t="s">
        <v>46</v>
      </c>
      <c r="I48" s="69"/>
    </row>
    <row r="49" ht="25" customHeight="1" spans="1:9">
      <c r="A49" s="86"/>
      <c r="B49" s="89"/>
      <c r="C49" s="66" t="s">
        <v>204</v>
      </c>
      <c r="D49" s="67" t="s">
        <v>45</v>
      </c>
      <c r="E49" s="64">
        <f>E48-E51-E52-E54</f>
        <v>15.12661</v>
      </c>
      <c r="F49" s="64">
        <v>8</v>
      </c>
      <c r="G49" s="64">
        <f t="shared" si="1"/>
        <v>121.01288</v>
      </c>
      <c r="H49" s="81" t="s">
        <v>46</v>
      </c>
      <c r="I49" s="69"/>
    </row>
    <row r="50" ht="25" customHeight="1" spans="1:9">
      <c r="A50" s="86"/>
      <c r="B50" s="89"/>
      <c r="C50" s="66" t="s">
        <v>205</v>
      </c>
      <c r="D50" s="67" t="s">
        <v>39</v>
      </c>
      <c r="E50" s="64">
        <f>0.94*(23.365-5.41)</f>
        <v>16.8777</v>
      </c>
      <c r="F50" s="64">
        <v>2.5</v>
      </c>
      <c r="G50" s="64">
        <f t="shared" si="1"/>
        <v>42.19425</v>
      </c>
      <c r="H50" s="81" t="s">
        <v>46</v>
      </c>
      <c r="I50" s="69"/>
    </row>
    <row r="51" ht="25" customHeight="1" spans="1:9">
      <c r="A51" s="86"/>
      <c r="B51" s="89"/>
      <c r="C51" s="66" t="s">
        <v>67</v>
      </c>
      <c r="D51" s="67" t="s">
        <v>45</v>
      </c>
      <c r="E51" s="64">
        <f>E50*0.1</f>
        <v>1.68777</v>
      </c>
      <c r="F51" s="64">
        <v>110</v>
      </c>
      <c r="G51" s="64">
        <f t="shared" si="1"/>
        <v>185.6547</v>
      </c>
      <c r="H51" s="81" t="s">
        <v>46</v>
      </c>
      <c r="I51" s="69"/>
    </row>
    <row r="52" ht="25" customHeight="1" spans="1:9">
      <c r="A52" s="86"/>
      <c r="B52" s="89"/>
      <c r="C52" s="66" t="s">
        <v>155</v>
      </c>
      <c r="D52" s="67" t="s">
        <v>45</v>
      </c>
      <c r="E52" s="64">
        <f>E50*0.1</f>
        <v>1.68777</v>
      </c>
      <c r="F52" s="64">
        <v>380</v>
      </c>
      <c r="G52" s="64">
        <f t="shared" si="1"/>
        <v>641.3526</v>
      </c>
      <c r="H52" s="81" t="s">
        <v>46</v>
      </c>
      <c r="I52" s="69"/>
    </row>
    <row r="53" ht="25" customHeight="1" spans="1:9">
      <c r="A53" s="86"/>
      <c r="B53" s="89"/>
      <c r="C53" s="66" t="s">
        <v>206</v>
      </c>
      <c r="D53" s="67" t="s">
        <v>45</v>
      </c>
      <c r="E53" s="64">
        <f>(0.54*0.12+0.42*0.12+0.3*1.43)*(23.37-5.41)</f>
        <v>9.773832</v>
      </c>
      <c r="F53" s="64">
        <v>570</v>
      </c>
      <c r="G53" s="64">
        <f t="shared" si="1"/>
        <v>5571.08424</v>
      </c>
      <c r="H53" s="81" t="s">
        <v>46</v>
      </c>
      <c r="I53" s="69"/>
    </row>
    <row r="54" ht="25" customHeight="1" spans="1:9">
      <c r="A54" s="86"/>
      <c r="B54" s="89"/>
      <c r="C54" s="66" t="s">
        <v>207</v>
      </c>
      <c r="D54" s="67" t="s">
        <v>45</v>
      </c>
      <c r="E54" s="64">
        <f>0.4*0.3*23</f>
        <v>2.76</v>
      </c>
      <c r="F54" s="64">
        <v>600</v>
      </c>
      <c r="G54" s="64">
        <f t="shared" si="1"/>
        <v>1656</v>
      </c>
      <c r="H54" s="81" t="s">
        <v>46</v>
      </c>
      <c r="I54" s="69"/>
    </row>
    <row r="55" ht="25" customHeight="1" spans="1:9">
      <c r="A55" s="86"/>
      <c r="B55" s="89"/>
      <c r="C55" s="66" t="s">
        <v>208</v>
      </c>
      <c r="D55" s="67" t="s">
        <v>160</v>
      </c>
      <c r="E55" s="64">
        <f>4*23.365*1.1*1.025*0.888/1000</f>
        <v>0.0935740212</v>
      </c>
      <c r="F55" s="64">
        <v>4900</v>
      </c>
      <c r="G55" s="64">
        <f t="shared" si="1"/>
        <v>458.51270388</v>
      </c>
      <c r="H55" s="81" t="s">
        <v>46</v>
      </c>
      <c r="I55" s="69"/>
    </row>
    <row r="56" ht="25" customHeight="1" spans="1:9">
      <c r="A56" s="86"/>
      <c r="B56" s="89"/>
      <c r="C56" s="93" t="s">
        <v>209</v>
      </c>
      <c r="D56" s="67" t="s">
        <v>160</v>
      </c>
      <c r="E56" s="64">
        <f>23.365/0.15*1.4*1.1*1.03*0.222/1000</f>
        <v>0.05485111324</v>
      </c>
      <c r="F56" s="64">
        <v>4900</v>
      </c>
      <c r="G56" s="64">
        <f t="shared" si="1"/>
        <v>268.770454876</v>
      </c>
      <c r="H56" s="81" t="s">
        <v>46</v>
      </c>
      <c r="I56" s="69"/>
    </row>
    <row r="57" ht="37" customHeight="1" spans="1:9">
      <c r="A57" s="86"/>
      <c r="B57" s="89"/>
      <c r="C57" s="66" t="s">
        <v>210</v>
      </c>
      <c r="D57" s="67" t="s">
        <v>160</v>
      </c>
      <c r="E57" s="64">
        <f>23.365*7.85/1000</f>
        <v>0.18341525</v>
      </c>
      <c r="F57" s="64">
        <v>0</v>
      </c>
      <c r="G57" s="64">
        <f t="shared" si="1"/>
        <v>0</v>
      </c>
      <c r="H57" s="81" t="s">
        <v>211</v>
      </c>
      <c r="I57" s="69"/>
    </row>
    <row r="58" ht="25" customHeight="1" spans="1:9">
      <c r="A58" s="86"/>
      <c r="B58" s="89"/>
      <c r="C58" s="66" t="s">
        <v>212</v>
      </c>
      <c r="D58" s="67" t="s">
        <v>35</v>
      </c>
      <c r="E58" s="64">
        <v>23.365</v>
      </c>
      <c r="F58" s="64">
        <v>0</v>
      </c>
      <c r="G58" s="64">
        <f t="shared" si="1"/>
        <v>0</v>
      </c>
      <c r="H58" s="81" t="s">
        <v>211</v>
      </c>
      <c r="I58" s="69"/>
    </row>
    <row r="59" spans="1:9">
      <c r="A59" s="90">
        <v>5</v>
      </c>
      <c r="B59" s="94" t="s">
        <v>213</v>
      </c>
      <c r="C59" s="66"/>
      <c r="D59" s="67"/>
      <c r="E59" s="64"/>
      <c r="F59" s="64"/>
      <c r="G59" s="64">
        <f t="shared" si="1"/>
        <v>0</v>
      </c>
      <c r="H59" s="81"/>
      <c r="I59" s="69"/>
    </row>
    <row r="60" ht="29" customHeight="1" spans="1:9">
      <c r="A60" s="90"/>
      <c r="B60" s="84" t="s">
        <v>187</v>
      </c>
      <c r="C60" s="66" t="s">
        <v>214</v>
      </c>
      <c r="D60" s="67" t="s">
        <v>39</v>
      </c>
      <c r="E60" s="64">
        <v>35.29</v>
      </c>
      <c r="F60" s="64">
        <v>102</v>
      </c>
      <c r="G60" s="64">
        <f t="shared" si="1"/>
        <v>3599.58</v>
      </c>
      <c r="H60" s="81" t="s">
        <v>46</v>
      </c>
      <c r="I60" s="69"/>
    </row>
    <row r="61" ht="23" customHeight="1" spans="1:9">
      <c r="A61" s="66"/>
      <c r="B61" s="85"/>
      <c r="C61" s="66" t="s">
        <v>189</v>
      </c>
      <c r="D61" s="67" t="s">
        <v>39</v>
      </c>
      <c r="E61" s="64">
        <f>E60</f>
        <v>35.29</v>
      </c>
      <c r="F61" s="64">
        <v>2.5</v>
      </c>
      <c r="G61" s="64">
        <f t="shared" si="1"/>
        <v>88.225</v>
      </c>
      <c r="H61" s="81" t="s">
        <v>46</v>
      </c>
      <c r="I61" s="69"/>
    </row>
    <row r="62" ht="23" customHeight="1" spans="1:9">
      <c r="A62" s="66"/>
      <c r="B62" s="85"/>
      <c r="C62" s="66" t="s">
        <v>47</v>
      </c>
      <c r="D62" s="67" t="s">
        <v>45</v>
      </c>
      <c r="E62" s="64">
        <f>E60*0.1</f>
        <v>3.529</v>
      </c>
      <c r="F62" s="64">
        <v>110</v>
      </c>
      <c r="G62" s="64">
        <f t="shared" si="1"/>
        <v>388.19</v>
      </c>
      <c r="H62" s="81" t="s">
        <v>46</v>
      </c>
      <c r="I62" s="69"/>
    </row>
    <row r="63" ht="23" customHeight="1" spans="1:14">
      <c r="A63" s="66"/>
      <c r="B63" s="85"/>
      <c r="C63" s="66" t="s">
        <v>155</v>
      </c>
      <c r="D63" s="67" t="s">
        <v>45</v>
      </c>
      <c r="E63" s="64">
        <f>E60*0.1</f>
        <v>3.529</v>
      </c>
      <c r="F63" s="64">
        <v>380</v>
      </c>
      <c r="G63" s="64">
        <f t="shared" si="1"/>
        <v>1341.02</v>
      </c>
      <c r="H63" s="81" t="s">
        <v>46</v>
      </c>
      <c r="I63" s="69"/>
      <c r="N63" s="72"/>
    </row>
    <row r="64" s="72" customFormat="1" ht="23" customHeight="1" spans="1:15">
      <c r="A64" s="86"/>
      <c r="B64" s="85"/>
      <c r="C64" s="66" t="s">
        <v>190</v>
      </c>
      <c r="D64" s="67" t="s">
        <v>39</v>
      </c>
      <c r="E64" s="64">
        <f>E60</f>
        <v>35.29</v>
      </c>
      <c r="F64" s="64">
        <v>20</v>
      </c>
      <c r="G64" s="64">
        <f t="shared" si="1"/>
        <v>705.8</v>
      </c>
      <c r="H64" s="81" t="s">
        <v>46</v>
      </c>
      <c r="I64" s="69"/>
      <c r="J64" s="62"/>
      <c r="K64" s="62"/>
      <c r="L64" s="62"/>
      <c r="N64" s="62"/>
      <c r="O64" s="62"/>
    </row>
    <row r="65" ht="27" spans="1:9">
      <c r="A65" s="90"/>
      <c r="B65" s="87" t="s">
        <v>215</v>
      </c>
      <c r="C65" s="88" t="s">
        <v>192</v>
      </c>
      <c r="D65" s="67" t="s">
        <v>39</v>
      </c>
      <c r="E65" s="64">
        <f>22.73*0.3</f>
        <v>6.819</v>
      </c>
      <c r="F65" s="64">
        <v>67</v>
      </c>
      <c r="G65" s="64">
        <f t="shared" si="1"/>
        <v>456.873</v>
      </c>
      <c r="H65" s="81" t="s">
        <v>51</v>
      </c>
      <c r="I65" s="69"/>
    </row>
    <row r="66" ht="27" spans="1:9">
      <c r="A66" s="90"/>
      <c r="B66" s="89"/>
      <c r="C66" s="88" t="s">
        <v>193</v>
      </c>
      <c r="D66" s="67" t="s">
        <v>39</v>
      </c>
      <c r="E66" s="64">
        <f>21.77*0.67</f>
        <v>14.5859</v>
      </c>
      <c r="F66" s="64">
        <v>72</v>
      </c>
      <c r="G66" s="64">
        <f t="shared" si="1"/>
        <v>1050.1848</v>
      </c>
      <c r="H66" s="81" t="s">
        <v>51</v>
      </c>
      <c r="I66" s="69"/>
    </row>
    <row r="67" ht="27" spans="1:9">
      <c r="A67" s="90"/>
      <c r="B67" s="89"/>
      <c r="C67" s="66" t="s">
        <v>216</v>
      </c>
      <c r="D67" s="68" t="s">
        <v>45</v>
      </c>
      <c r="E67" s="64">
        <f>(0.365*0.12+0.24*0.79)*22.73</f>
        <v>5.305182</v>
      </c>
      <c r="F67" s="64">
        <v>570</v>
      </c>
      <c r="G67" s="64">
        <f t="shared" si="1"/>
        <v>3023.95374</v>
      </c>
      <c r="H67" s="81" t="s">
        <v>46</v>
      </c>
      <c r="I67" s="69"/>
    </row>
    <row r="68" ht="39" customHeight="1" spans="1:9">
      <c r="A68" s="90"/>
      <c r="B68" s="89"/>
      <c r="C68" s="66" t="s">
        <v>217</v>
      </c>
      <c r="D68" s="67" t="s">
        <v>45</v>
      </c>
      <c r="E68" s="64">
        <f>E70*0.1</f>
        <v>1.29561</v>
      </c>
      <c r="F68" s="64">
        <v>380</v>
      </c>
      <c r="G68" s="64">
        <f t="shared" si="1"/>
        <v>492.3318</v>
      </c>
      <c r="H68" s="81" t="s">
        <v>46</v>
      </c>
      <c r="I68" s="69"/>
    </row>
    <row r="69" ht="20" customHeight="1" spans="1:9">
      <c r="A69" s="90"/>
      <c r="B69" s="89"/>
      <c r="C69" s="66" t="s">
        <v>218</v>
      </c>
      <c r="D69" s="67" t="s">
        <v>45</v>
      </c>
      <c r="E69" s="64">
        <f>E70*0.1</f>
        <v>1.29561</v>
      </c>
      <c r="F69" s="64">
        <v>110</v>
      </c>
      <c r="G69" s="64">
        <f t="shared" ref="G69:G132" si="2">E69*F69</f>
        <v>142.5171</v>
      </c>
      <c r="H69" s="81" t="s">
        <v>46</v>
      </c>
      <c r="I69" s="69"/>
    </row>
    <row r="70" ht="35" customHeight="1" spans="1:9">
      <c r="A70" s="90"/>
      <c r="B70" s="91"/>
      <c r="C70" s="66" t="s">
        <v>197</v>
      </c>
      <c r="D70" s="67" t="s">
        <v>39</v>
      </c>
      <c r="E70" s="64">
        <f>0.57*22.73</f>
        <v>12.9561</v>
      </c>
      <c r="F70" s="64">
        <v>2.5</v>
      </c>
      <c r="G70" s="64">
        <f t="shared" si="2"/>
        <v>32.39025</v>
      </c>
      <c r="H70" s="81" t="s">
        <v>46</v>
      </c>
      <c r="I70" s="69"/>
    </row>
    <row r="71" ht="20" customHeight="1" spans="1:9">
      <c r="A71" s="90"/>
      <c r="B71" s="77" t="s">
        <v>219</v>
      </c>
      <c r="C71" s="66" t="s">
        <v>199</v>
      </c>
      <c r="D71" s="67" t="s">
        <v>200</v>
      </c>
      <c r="E71" s="64">
        <v>2</v>
      </c>
      <c r="F71" s="64">
        <v>0</v>
      </c>
      <c r="G71" s="64">
        <f t="shared" si="2"/>
        <v>0</v>
      </c>
      <c r="H71" s="81" t="s">
        <v>201</v>
      </c>
      <c r="I71" s="69"/>
    </row>
    <row r="72" ht="22" customHeight="1" spans="1:9">
      <c r="A72" s="83"/>
      <c r="B72" s="87"/>
      <c r="C72" s="92" t="s">
        <v>202</v>
      </c>
      <c r="D72" s="5" t="s">
        <v>175</v>
      </c>
      <c r="E72" s="64">
        <v>2</v>
      </c>
      <c r="F72" s="64">
        <v>280</v>
      </c>
      <c r="G72" s="64">
        <f t="shared" si="2"/>
        <v>560</v>
      </c>
      <c r="H72" s="81" t="s">
        <v>201</v>
      </c>
      <c r="I72" s="69"/>
    </row>
    <row r="73" ht="39" customHeight="1" spans="1:12">
      <c r="A73" s="66">
        <v>6</v>
      </c>
      <c r="B73" s="79" t="s">
        <v>220</v>
      </c>
      <c r="C73" s="66" t="s">
        <v>165</v>
      </c>
      <c r="D73" s="67" t="s">
        <v>45</v>
      </c>
      <c r="E73" s="64">
        <f>1.46*1.46*1.4*2+1.33*0.56*(4.2-1.14)*2+0.8*0.46*(3.08-0.24)*2+0.8*0.56*(4.2-0.24-0.16)*2+0.8*0.56*(1.88-0.16-0.16)*2</f>
        <v>17.419456</v>
      </c>
      <c r="F73" s="64">
        <v>10</v>
      </c>
      <c r="G73" s="64">
        <f t="shared" si="2"/>
        <v>174.19456</v>
      </c>
      <c r="H73" s="81" t="s">
        <v>46</v>
      </c>
      <c r="I73" s="69"/>
      <c r="K73" s="103"/>
      <c r="L73" s="58"/>
    </row>
    <row r="74" ht="39" customHeight="1" spans="1:12">
      <c r="A74" s="66"/>
      <c r="B74" s="77"/>
      <c r="C74" s="66" t="s">
        <v>204</v>
      </c>
      <c r="D74" s="67" t="s">
        <v>45</v>
      </c>
      <c r="E74" s="64">
        <f>E73-E75-E76</f>
        <v>14.275216</v>
      </c>
      <c r="F74" s="64">
        <v>8</v>
      </c>
      <c r="G74" s="64">
        <f t="shared" si="2"/>
        <v>114.201728</v>
      </c>
      <c r="H74" s="81" t="s">
        <v>46</v>
      </c>
      <c r="I74" s="69"/>
      <c r="K74" s="75"/>
      <c r="L74" s="58"/>
    </row>
    <row r="75" ht="39" customHeight="1" spans="1:12">
      <c r="A75" s="66"/>
      <c r="B75" s="77"/>
      <c r="C75" s="66" t="s">
        <v>67</v>
      </c>
      <c r="D75" s="67" t="s">
        <v>45</v>
      </c>
      <c r="E75" s="64">
        <f>0.1*1.46*1.46*2+0.1*0.56*(4.2-1.14)*2+0.46*(3.08+0.16-0.56)*0.1*2+0.1*0.56*(4.2-0.24-0.16)*2+0.1*0.56*(1.88-0.16-0.16)*2</f>
        <v>1.61592</v>
      </c>
      <c r="F75" s="64">
        <v>110</v>
      </c>
      <c r="G75" s="64">
        <f t="shared" si="2"/>
        <v>177.7512</v>
      </c>
      <c r="H75" s="81" t="s">
        <v>46</v>
      </c>
      <c r="I75" s="69"/>
      <c r="K75" s="75"/>
      <c r="L75" s="58"/>
    </row>
    <row r="76" ht="39" customHeight="1" spans="1:12">
      <c r="A76" s="66"/>
      <c r="B76" s="77"/>
      <c r="C76" s="66" t="s">
        <v>155</v>
      </c>
      <c r="D76" s="67" t="s">
        <v>39</v>
      </c>
      <c r="E76" s="64">
        <f>0.1*1.16*1.46*2+0.1*0.56*(4.2-1.14)*2+0.46*(3.08+0.16-0.56)*0.1*2+0.1*0.56*(4.2-0.24-0.16)*2+0.1*0.56*(1.88-0.16-0.16)*2</f>
        <v>1.52832</v>
      </c>
      <c r="F76" s="64">
        <v>390</v>
      </c>
      <c r="G76" s="64">
        <f t="shared" si="2"/>
        <v>596.0448</v>
      </c>
      <c r="H76" s="81" t="s">
        <v>46</v>
      </c>
      <c r="I76" s="69"/>
      <c r="K76" s="75"/>
      <c r="L76" s="58"/>
    </row>
    <row r="77" ht="39" customHeight="1" spans="1:12">
      <c r="A77" s="66"/>
      <c r="B77" s="66" t="s">
        <v>221</v>
      </c>
      <c r="C77" s="66" t="s">
        <v>169</v>
      </c>
      <c r="D77" s="68" t="s">
        <v>45</v>
      </c>
      <c r="E77" s="64">
        <f>(0.12*1.26*1.26+1.14*1.14*1.08)*2+(0.12*0.24*(4.2-1.14)+1.01*0.24*(4.2-1.14))*2+(0.12*0.36*(3.08-0.24)+0.48*0.24*(3.08-0.24))*2+(0.12*0.36*(4.2-0.3)+0.56*0.24*(4.2-0.24))*2+(0.36*0.12*(1.88-0.24)+0.24*0.58*(1.88-0.24))*2</f>
        <v>7.747296</v>
      </c>
      <c r="F77" s="64">
        <v>570</v>
      </c>
      <c r="G77" s="64">
        <f t="shared" si="2"/>
        <v>4415.95872</v>
      </c>
      <c r="H77" s="81" t="s">
        <v>46</v>
      </c>
      <c r="I77" s="69"/>
      <c r="K77" s="75"/>
      <c r="L77" s="58"/>
    </row>
    <row r="78" ht="39" customHeight="1" spans="1:12">
      <c r="A78" s="66"/>
      <c r="B78" s="77"/>
      <c r="C78" s="66" t="s">
        <v>222</v>
      </c>
      <c r="D78" s="67" t="s">
        <v>39</v>
      </c>
      <c r="E78" s="64">
        <f>2.88+6.76+13.1+10.36*0.2+(1.8*0.26)*2</f>
        <v>25.748</v>
      </c>
      <c r="F78" s="64">
        <v>20</v>
      </c>
      <c r="G78" s="64">
        <f t="shared" si="2"/>
        <v>514.96</v>
      </c>
      <c r="H78" s="81" t="s">
        <v>46</v>
      </c>
      <c r="I78" s="69"/>
      <c r="K78" s="75"/>
      <c r="L78" s="58"/>
    </row>
    <row r="79" ht="39" customHeight="1" spans="1:12">
      <c r="A79" s="66"/>
      <c r="B79" s="77" t="s">
        <v>171</v>
      </c>
      <c r="C79" s="66" t="s">
        <v>223</v>
      </c>
      <c r="D79" s="67" t="s">
        <v>39</v>
      </c>
      <c r="E79" s="64">
        <f>1.2*1.2*2</f>
        <v>2.88</v>
      </c>
      <c r="F79" s="64">
        <v>120</v>
      </c>
      <c r="G79" s="64">
        <f t="shared" si="2"/>
        <v>345.6</v>
      </c>
      <c r="H79" s="81" t="s">
        <v>51</v>
      </c>
      <c r="I79" s="69"/>
      <c r="K79" s="75"/>
      <c r="L79" s="58"/>
    </row>
    <row r="80" ht="53" customHeight="1" spans="1:12">
      <c r="A80" s="66"/>
      <c r="B80" s="77" t="s">
        <v>171</v>
      </c>
      <c r="C80" s="66" t="s">
        <v>224</v>
      </c>
      <c r="D80" s="67" t="s">
        <v>39</v>
      </c>
      <c r="E80" s="64">
        <f>3.38*2</f>
        <v>6.76</v>
      </c>
      <c r="F80" s="64">
        <v>72</v>
      </c>
      <c r="G80" s="64">
        <f t="shared" si="2"/>
        <v>486.72</v>
      </c>
      <c r="H80" s="81" t="s">
        <v>51</v>
      </c>
      <c r="I80" s="69"/>
      <c r="K80" s="75"/>
      <c r="L80" s="58"/>
    </row>
    <row r="81" ht="53" customHeight="1" spans="1:12">
      <c r="A81" s="66"/>
      <c r="B81" s="77" t="s">
        <v>179</v>
      </c>
      <c r="C81" s="66" t="s">
        <v>225</v>
      </c>
      <c r="D81" s="67" t="s">
        <v>39</v>
      </c>
      <c r="E81" s="64">
        <f>(0.73*3+3.08*0.2+4.2*0.3+1.88*0.3+1.2*0.8*2)*2</f>
        <v>13.1</v>
      </c>
      <c r="F81" s="64">
        <v>72</v>
      </c>
      <c r="G81" s="64">
        <f t="shared" si="2"/>
        <v>943.2</v>
      </c>
      <c r="H81" s="81" t="s">
        <v>51</v>
      </c>
      <c r="I81" s="69"/>
      <c r="K81" s="75"/>
      <c r="L81" s="58"/>
    </row>
    <row r="82" ht="143" customHeight="1" spans="1:12">
      <c r="A82" s="66"/>
      <c r="B82" s="77" t="s">
        <v>173</v>
      </c>
      <c r="C82" s="66" t="s">
        <v>226</v>
      </c>
      <c r="D82" s="67" t="s">
        <v>175</v>
      </c>
      <c r="E82" s="64">
        <v>2</v>
      </c>
      <c r="F82" s="64">
        <v>200</v>
      </c>
      <c r="G82" s="64">
        <f t="shared" si="2"/>
        <v>400</v>
      </c>
      <c r="H82" s="81" t="s">
        <v>176</v>
      </c>
      <c r="I82" s="69"/>
      <c r="K82" s="75"/>
      <c r="L82" s="58"/>
    </row>
    <row r="83" ht="45" customHeight="1" spans="1:12">
      <c r="A83" s="66"/>
      <c r="B83" s="77" t="s">
        <v>227</v>
      </c>
      <c r="C83" s="66" t="s">
        <v>228</v>
      </c>
      <c r="D83" s="67" t="s">
        <v>35</v>
      </c>
      <c r="E83" s="64">
        <f>7.3*2*2</f>
        <v>29.2</v>
      </c>
      <c r="F83" s="64">
        <v>21.5</v>
      </c>
      <c r="G83" s="64">
        <f t="shared" si="2"/>
        <v>627.8</v>
      </c>
      <c r="H83" s="81" t="s">
        <v>46</v>
      </c>
      <c r="I83" s="69"/>
      <c r="K83" s="75"/>
      <c r="L83" s="58"/>
    </row>
    <row r="84" ht="44" customHeight="1" spans="1:10">
      <c r="A84" s="66">
        <v>7</v>
      </c>
      <c r="B84" s="79" t="s">
        <v>229</v>
      </c>
      <c r="C84" s="66" t="s">
        <v>230</v>
      </c>
      <c r="D84" s="67" t="s">
        <v>45</v>
      </c>
      <c r="E84" s="64">
        <f>0.75*0.75*0.25*2*8</f>
        <v>2.25</v>
      </c>
      <c r="F84" s="64">
        <v>535</v>
      </c>
      <c r="G84" s="64">
        <f t="shared" si="2"/>
        <v>1203.75</v>
      </c>
      <c r="H84" s="81" t="s">
        <v>46</v>
      </c>
      <c r="I84" s="69"/>
      <c r="J84" s="62" t="e">
        <f>#REF!*1.15</f>
        <v>#REF!</v>
      </c>
    </row>
    <row r="85" ht="44" customHeight="1" spans="1:9">
      <c r="A85" s="66"/>
      <c r="B85" s="77"/>
      <c r="C85" s="66" t="s">
        <v>231</v>
      </c>
      <c r="D85" s="67" t="s">
        <v>45</v>
      </c>
      <c r="E85" s="64">
        <f>0.25*0.25*0.48*2*8</f>
        <v>0.48</v>
      </c>
      <c r="F85" s="64">
        <v>615</v>
      </c>
      <c r="G85" s="64">
        <f t="shared" si="2"/>
        <v>295.2</v>
      </c>
      <c r="H85" s="81" t="s">
        <v>46</v>
      </c>
      <c r="I85" s="69"/>
    </row>
    <row r="86" ht="44" customHeight="1" spans="1:9">
      <c r="A86" s="66"/>
      <c r="B86" s="77"/>
      <c r="C86" s="66" t="s">
        <v>232</v>
      </c>
      <c r="D86" s="67" t="s">
        <v>39</v>
      </c>
      <c r="E86" s="78">
        <f>0.1*0.75*4*2*8+(0.75*0.75-0.25*0.25)*2*8+0.48*0.25*4*2*8+(2.1*15.074+15.074*0.2*2*2+1.1*0.2*2*8)</f>
        <v>67.7146</v>
      </c>
      <c r="F86" s="64">
        <v>52</v>
      </c>
      <c r="G86" s="64">
        <f t="shared" si="2"/>
        <v>3521.1592</v>
      </c>
      <c r="H86" s="81" t="s">
        <v>46</v>
      </c>
      <c r="I86" s="69"/>
    </row>
    <row r="87" ht="44" customHeight="1" spans="1:9">
      <c r="A87" s="66"/>
      <c r="B87" s="77"/>
      <c r="C87" s="99" t="s">
        <v>233</v>
      </c>
      <c r="D87" s="67" t="s">
        <v>39</v>
      </c>
      <c r="E87" s="78">
        <f>E86</f>
        <v>67.7146</v>
      </c>
      <c r="F87" s="64">
        <v>20</v>
      </c>
      <c r="G87" s="64">
        <f t="shared" si="2"/>
        <v>1354.292</v>
      </c>
      <c r="H87" s="81" t="s">
        <v>46</v>
      </c>
      <c r="I87" s="69"/>
    </row>
    <row r="88" ht="44" customHeight="1" spans="1:9">
      <c r="A88" s="66"/>
      <c r="B88" s="77"/>
      <c r="C88" s="66" t="s">
        <v>234</v>
      </c>
      <c r="D88" s="67" t="s">
        <v>45</v>
      </c>
      <c r="E88" s="64">
        <f>0.2*0.25*1.7*8+0.2*0.25*15.079*2</f>
        <v>2.1879</v>
      </c>
      <c r="F88" s="64">
        <v>615</v>
      </c>
      <c r="G88" s="64">
        <f t="shared" si="2"/>
        <v>1345.5585</v>
      </c>
      <c r="H88" s="81" t="s">
        <v>46</v>
      </c>
      <c r="I88" s="69"/>
    </row>
    <row r="89" ht="44" customHeight="1" spans="1:9">
      <c r="A89" s="66"/>
      <c r="B89" s="77"/>
      <c r="C89" s="66" t="s">
        <v>235</v>
      </c>
      <c r="D89" s="67" t="s">
        <v>45</v>
      </c>
      <c r="E89" s="64">
        <f>2.1*15.079*0.1-15.079*0.25*0.1-1.7*0.25*0.1</f>
        <v>2.747115</v>
      </c>
      <c r="F89" s="64">
        <v>615</v>
      </c>
      <c r="G89" s="64">
        <f t="shared" si="2"/>
        <v>1689.475725</v>
      </c>
      <c r="H89" s="81" t="s">
        <v>46</v>
      </c>
      <c r="I89" s="69"/>
    </row>
    <row r="90" ht="44" customHeight="1" spans="1:9">
      <c r="A90" s="66"/>
      <c r="B90" s="77"/>
      <c r="C90" s="66" t="s">
        <v>236</v>
      </c>
      <c r="D90" s="67" t="s">
        <v>160</v>
      </c>
      <c r="E90" s="68">
        <f>(1.053*4*2*8+1.7*4*8+15.079*4*2)*16*16*0.00617/1000</f>
        <v>0.38291355648</v>
      </c>
      <c r="F90" s="64">
        <v>4900</v>
      </c>
      <c r="G90" s="64">
        <f t="shared" si="2"/>
        <v>1876.276426752</v>
      </c>
      <c r="H90" s="81" t="s">
        <v>46</v>
      </c>
      <c r="I90" s="69"/>
    </row>
    <row r="91" ht="44" customHeight="1" spans="1:9">
      <c r="A91" s="66"/>
      <c r="B91" s="77"/>
      <c r="C91" s="66" t="s">
        <v>237</v>
      </c>
      <c r="D91" s="67" t="s">
        <v>160</v>
      </c>
      <c r="E91" s="68">
        <f>(2.1/0.2*15.099*2+15.099/0.2*2.1*2)*12*12*0.00617/1000</f>
        <v>0.56343669984</v>
      </c>
      <c r="F91" s="64">
        <v>4900</v>
      </c>
      <c r="G91" s="64">
        <f t="shared" si="2"/>
        <v>2760.839829216</v>
      </c>
      <c r="H91" s="81" t="s">
        <v>46</v>
      </c>
      <c r="I91" s="69"/>
    </row>
    <row r="92" ht="44" customHeight="1" spans="1:9">
      <c r="A92" s="66"/>
      <c r="B92" s="77"/>
      <c r="C92" s="66" t="s">
        <v>238</v>
      </c>
      <c r="D92" s="67" t="s">
        <v>160</v>
      </c>
      <c r="E92" s="68">
        <f>(0.75/0.2*(0.75+0.08+0.08)*2*2*8)*10*10*0.00617/1000</f>
        <v>0.0673764</v>
      </c>
      <c r="F92" s="64">
        <v>4900</v>
      </c>
      <c r="G92" s="64">
        <f t="shared" si="2"/>
        <v>330.14436</v>
      </c>
      <c r="H92" s="81" t="s">
        <v>46</v>
      </c>
      <c r="I92" s="69"/>
    </row>
    <row r="93" ht="44" customHeight="1" spans="1:9">
      <c r="A93" s="66"/>
      <c r="B93" s="77"/>
      <c r="C93" s="66" t="s">
        <v>239</v>
      </c>
      <c r="D93" s="67" t="s">
        <v>160</v>
      </c>
      <c r="E93" s="68">
        <f>(0.85/0.2*0.25*4*2*8+1.7/0.2*(0.2+0.25)*2*8+15.079/0.2*(0.2+0.25)*2*2)*8*8*0.00617/1000</f>
        <v>0.10460805568</v>
      </c>
      <c r="F93" s="64">
        <v>4900</v>
      </c>
      <c r="G93" s="64">
        <f t="shared" si="2"/>
        <v>512.579472832</v>
      </c>
      <c r="H93" s="81" t="s">
        <v>46</v>
      </c>
      <c r="I93" s="69"/>
    </row>
    <row r="94" ht="44" customHeight="1" spans="1:9">
      <c r="A94" s="66"/>
      <c r="B94" s="77"/>
      <c r="C94" s="66" t="s">
        <v>240</v>
      </c>
      <c r="D94" s="67" t="s">
        <v>39</v>
      </c>
      <c r="E94" s="64">
        <f>15.074*1.5</f>
        <v>22.611</v>
      </c>
      <c r="F94" s="64">
        <v>57</v>
      </c>
      <c r="G94" s="64">
        <f t="shared" si="2"/>
        <v>1288.827</v>
      </c>
      <c r="H94" s="81" t="s">
        <v>51</v>
      </c>
      <c r="I94" s="69"/>
    </row>
    <row r="95" ht="44" customHeight="1" spans="1:9">
      <c r="A95" s="66"/>
      <c r="B95" s="77"/>
      <c r="C95" s="66" t="s">
        <v>241</v>
      </c>
      <c r="D95" s="67" t="s">
        <v>39</v>
      </c>
      <c r="E95" s="64">
        <f>15.074*0.1*2</f>
        <v>3.0148</v>
      </c>
      <c r="F95" s="64">
        <v>57</v>
      </c>
      <c r="G95" s="64">
        <f t="shared" si="2"/>
        <v>171.8436</v>
      </c>
      <c r="H95" s="81" t="s">
        <v>51</v>
      </c>
      <c r="I95" s="69"/>
    </row>
    <row r="96" ht="44" customHeight="1" spans="1:9">
      <c r="A96" s="66"/>
      <c r="B96" s="77"/>
      <c r="C96" s="66" t="s">
        <v>242</v>
      </c>
      <c r="D96" s="67" t="s">
        <v>39</v>
      </c>
      <c r="E96" s="64">
        <f>15.074*0.2*2</f>
        <v>6.0296</v>
      </c>
      <c r="F96" s="64">
        <v>57</v>
      </c>
      <c r="G96" s="64">
        <f t="shared" si="2"/>
        <v>343.6872</v>
      </c>
      <c r="H96" s="81" t="s">
        <v>51</v>
      </c>
      <c r="I96" s="69"/>
    </row>
    <row r="97" ht="44" customHeight="1" spans="1:9">
      <c r="A97" s="66"/>
      <c r="B97" s="77"/>
      <c r="C97" s="66" t="s">
        <v>243</v>
      </c>
      <c r="D97" s="67" t="s">
        <v>39</v>
      </c>
      <c r="E97" s="64">
        <f>15.074*0.14*2</f>
        <v>4.22072</v>
      </c>
      <c r="F97" s="64">
        <v>72</v>
      </c>
      <c r="G97" s="64">
        <f t="shared" si="2"/>
        <v>303.89184</v>
      </c>
      <c r="H97" s="81" t="s">
        <v>51</v>
      </c>
      <c r="I97" s="69"/>
    </row>
    <row r="98" ht="47" customHeight="1" spans="1:9">
      <c r="A98" s="66"/>
      <c r="B98" s="77" t="s">
        <v>244</v>
      </c>
      <c r="C98" s="66" t="s">
        <v>245</v>
      </c>
      <c r="D98" s="67" t="s">
        <v>35</v>
      </c>
      <c r="E98" s="64">
        <f>15.08*2</f>
        <v>30.16</v>
      </c>
      <c r="F98" s="64">
        <v>100</v>
      </c>
      <c r="G98" s="64">
        <f t="shared" si="2"/>
        <v>3016</v>
      </c>
      <c r="H98" s="81" t="s">
        <v>51</v>
      </c>
      <c r="I98" s="69"/>
    </row>
    <row r="99" ht="51" customHeight="1" spans="1:9">
      <c r="A99" s="66"/>
      <c r="B99" s="77" t="s">
        <v>244</v>
      </c>
      <c r="C99" s="66" t="s">
        <v>246</v>
      </c>
      <c r="D99" s="67" t="s">
        <v>200</v>
      </c>
      <c r="E99" s="64">
        <v>26</v>
      </c>
      <c r="F99" s="64">
        <v>42</v>
      </c>
      <c r="G99" s="64">
        <f t="shared" si="2"/>
        <v>1092</v>
      </c>
      <c r="H99" s="81" t="s">
        <v>51</v>
      </c>
      <c r="I99" s="69" t="s">
        <v>247</v>
      </c>
    </row>
    <row r="100" ht="27" spans="1:9">
      <c r="A100" s="66">
        <v>8</v>
      </c>
      <c r="B100" s="100" t="s">
        <v>248</v>
      </c>
      <c r="C100" s="66" t="s">
        <v>249</v>
      </c>
      <c r="D100" s="67" t="s">
        <v>45</v>
      </c>
      <c r="E100" s="64">
        <f>0.3*1.7*0.9*7+0.3*0.9*0.9*3</f>
        <v>3.942</v>
      </c>
      <c r="F100" s="64">
        <v>545</v>
      </c>
      <c r="G100" s="64">
        <f t="shared" si="2"/>
        <v>2148.39</v>
      </c>
      <c r="H100" s="81" t="s">
        <v>46</v>
      </c>
      <c r="I100" s="69"/>
    </row>
    <row r="101" ht="27" spans="1:9">
      <c r="A101" s="66"/>
      <c r="B101" s="77"/>
      <c r="C101" s="66" t="s">
        <v>250</v>
      </c>
      <c r="D101" s="67" t="s">
        <v>45</v>
      </c>
      <c r="E101" s="64">
        <f>0.3*0.3*0.76*17</f>
        <v>1.1628</v>
      </c>
      <c r="F101" s="64">
        <v>625</v>
      </c>
      <c r="G101" s="64">
        <f t="shared" si="2"/>
        <v>726.75</v>
      </c>
      <c r="H101" s="81" t="s">
        <v>46</v>
      </c>
      <c r="I101" s="69"/>
    </row>
    <row r="102" ht="27" spans="1:9">
      <c r="A102" s="66"/>
      <c r="B102" s="77"/>
      <c r="C102" s="66" t="s">
        <v>251</v>
      </c>
      <c r="D102" s="67" t="s">
        <v>45</v>
      </c>
      <c r="E102" s="64">
        <f>0.2*0.3*(0.5*7+1.4*6+2.7*4+2*3+2.72*2)</f>
        <v>2.0484</v>
      </c>
      <c r="F102" s="64">
        <v>625</v>
      </c>
      <c r="G102" s="64">
        <f t="shared" si="2"/>
        <v>1280.25</v>
      </c>
      <c r="H102" s="81" t="s">
        <v>46</v>
      </c>
      <c r="I102" s="69"/>
    </row>
    <row r="103" ht="28.5" customHeight="1" spans="1:9">
      <c r="A103" s="66"/>
      <c r="B103" s="77"/>
      <c r="C103" s="66" t="s">
        <v>252</v>
      </c>
      <c r="D103" s="67" t="s">
        <v>45</v>
      </c>
      <c r="E103" s="64">
        <f>40.83*0.12</f>
        <v>4.8996</v>
      </c>
      <c r="F103" s="64">
        <v>625</v>
      </c>
      <c r="G103" s="64">
        <f t="shared" si="2"/>
        <v>3062.25</v>
      </c>
      <c r="H103" s="81" t="s">
        <v>46</v>
      </c>
      <c r="I103" s="69"/>
    </row>
    <row r="104" ht="28.5" customHeight="1" spans="1:9">
      <c r="A104" s="66"/>
      <c r="B104" s="77"/>
      <c r="C104" s="66" t="s">
        <v>253</v>
      </c>
      <c r="D104" s="67" t="s">
        <v>39</v>
      </c>
      <c r="E104" s="64">
        <f t="shared" ref="E104:E106" si="3">((0.15*1.7+0.15*0.9)*2+(0.9*1.7-0.3*0.3*2))*7+(0.15*0.9*4+(0.9*0.9-0.3*0.3))*3+(0.3*4*0.76*17)+(0.5*7+1.4*6+2.7*4+2*3+2.72*2)*(0.2+0.3+0.3)</f>
        <v>61.506</v>
      </c>
      <c r="F104" s="64">
        <v>18</v>
      </c>
      <c r="G104" s="64">
        <f t="shared" si="2"/>
        <v>1107.108</v>
      </c>
      <c r="H104" s="81" t="s">
        <v>46</v>
      </c>
      <c r="I104" s="69"/>
    </row>
    <row r="105" ht="28.5" customHeight="1" spans="1:9">
      <c r="A105" s="66"/>
      <c r="B105" s="77"/>
      <c r="C105" s="66" t="s">
        <v>232</v>
      </c>
      <c r="D105" s="67" t="s">
        <v>39</v>
      </c>
      <c r="E105" s="64">
        <f t="shared" si="3"/>
        <v>61.506</v>
      </c>
      <c r="F105" s="64">
        <v>52</v>
      </c>
      <c r="G105" s="64">
        <f t="shared" si="2"/>
        <v>3198.312</v>
      </c>
      <c r="H105" s="81" t="s">
        <v>46</v>
      </c>
      <c r="I105" s="69"/>
    </row>
    <row r="106" ht="28.5" customHeight="1" spans="1:9">
      <c r="A106" s="66"/>
      <c r="B106" s="77"/>
      <c r="C106" s="66" t="s">
        <v>253</v>
      </c>
      <c r="D106" s="67" t="s">
        <v>39</v>
      </c>
      <c r="E106" s="64">
        <f t="shared" si="3"/>
        <v>61.506</v>
      </c>
      <c r="F106" s="64">
        <v>18</v>
      </c>
      <c r="G106" s="64">
        <f t="shared" si="2"/>
        <v>1107.108</v>
      </c>
      <c r="H106" s="81" t="s">
        <v>46</v>
      </c>
      <c r="I106" s="69"/>
    </row>
    <row r="107" ht="28.5" customHeight="1" spans="1:9">
      <c r="A107" s="66"/>
      <c r="B107" s="77"/>
      <c r="C107" s="101" t="s">
        <v>242</v>
      </c>
      <c r="D107" s="67" t="s">
        <v>39</v>
      </c>
      <c r="E107" s="64">
        <f>34.083-29.244</f>
        <v>4.839</v>
      </c>
      <c r="F107" s="64">
        <v>57</v>
      </c>
      <c r="G107" s="64">
        <f t="shared" si="2"/>
        <v>275.823</v>
      </c>
      <c r="H107" s="81" t="s">
        <v>51</v>
      </c>
      <c r="I107" s="69"/>
    </row>
    <row r="108" ht="28.5" customHeight="1" spans="1:9">
      <c r="A108" s="66"/>
      <c r="B108" s="77"/>
      <c r="C108" s="77" t="s">
        <v>241</v>
      </c>
      <c r="D108" s="67" t="s">
        <v>39</v>
      </c>
      <c r="E108" s="64">
        <f>29.244-26.935</f>
        <v>2.309</v>
      </c>
      <c r="F108" s="64">
        <v>57</v>
      </c>
      <c r="G108" s="64">
        <f t="shared" si="2"/>
        <v>131.613</v>
      </c>
      <c r="H108" s="81" t="s">
        <v>51</v>
      </c>
      <c r="I108" s="69"/>
    </row>
    <row r="109" ht="28.5" customHeight="1" spans="1:9">
      <c r="A109" s="66"/>
      <c r="B109" s="77"/>
      <c r="C109" s="101" t="s">
        <v>240</v>
      </c>
      <c r="D109" s="67" t="s">
        <v>39</v>
      </c>
      <c r="E109" s="64">
        <f>26.935</f>
        <v>26.935</v>
      </c>
      <c r="F109" s="64">
        <v>57</v>
      </c>
      <c r="G109" s="64">
        <f t="shared" si="2"/>
        <v>1535.295</v>
      </c>
      <c r="H109" s="81" t="s">
        <v>51</v>
      </c>
      <c r="I109" s="69"/>
    </row>
    <row r="110" ht="28.5" customHeight="1" spans="1:9">
      <c r="A110" s="66"/>
      <c r="B110" s="77"/>
      <c r="C110" s="101" t="s">
        <v>254</v>
      </c>
      <c r="D110" s="67" t="s">
        <v>39</v>
      </c>
      <c r="E110" s="64">
        <f>(14.15+16.9)*0.17</f>
        <v>5.2785</v>
      </c>
      <c r="F110" s="64">
        <v>72</v>
      </c>
      <c r="G110" s="64">
        <f t="shared" si="2"/>
        <v>380.052</v>
      </c>
      <c r="H110" s="81" t="s">
        <v>51</v>
      </c>
      <c r="I110" s="69"/>
    </row>
    <row r="111" ht="39" customHeight="1" spans="1:9">
      <c r="A111" s="66"/>
      <c r="B111" s="77" t="s">
        <v>244</v>
      </c>
      <c r="C111" s="66" t="s">
        <v>245</v>
      </c>
      <c r="D111" s="68" t="s">
        <v>35</v>
      </c>
      <c r="E111" s="64">
        <f>15.4+2.9+2.72+6.68+2.72+2.9</f>
        <v>33.32</v>
      </c>
      <c r="F111" s="64">
        <v>100</v>
      </c>
      <c r="G111" s="64">
        <f t="shared" si="2"/>
        <v>3332</v>
      </c>
      <c r="H111" s="81" t="s">
        <v>51</v>
      </c>
      <c r="I111" s="69"/>
    </row>
    <row r="112" ht="54" customHeight="1" spans="1:9">
      <c r="A112" s="66"/>
      <c r="B112" s="77" t="s">
        <v>244</v>
      </c>
      <c r="C112" s="66" t="s">
        <v>246</v>
      </c>
      <c r="D112" s="68" t="s">
        <v>200</v>
      </c>
      <c r="E112" s="64">
        <v>24</v>
      </c>
      <c r="F112" s="64">
        <v>42</v>
      </c>
      <c r="G112" s="64">
        <f t="shared" si="2"/>
        <v>1008</v>
      </c>
      <c r="H112" s="81" t="s">
        <v>51</v>
      </c>
      <c r="I112" s="69"/>
    </row>
    <row r="113" ht="28.5" customHeight="1" spans="1:9">
      <c r="A113" s="66"/>
      <c r="B113" s="77"/>
      <c r="C113" s="66" t="s">
        <v>255</v>
      </c>
      <c r="D113" s="67" t="s">
        <v>160</v>
      </c>
      <c r="E113" s="68">
        <f>((1.18+0.3)*4*3+(1.18+0.3)*4*2*7)*16*16*0.00617/1000</f>
        <v>0.1589628928</v>
      </c>
      <c r="F113" s="64">
        <v>4900</v>
      </c>
      <c r="G113" s="64">
        <f t="shared" si="2"/>
        <v>778.91817472</v>
      </c>
      <c r="H113" s="81" t="s">
        <v>46</v>
      </c>
      <c r="I113" s="69"/>
    </row>
    <row r="114" ht="28.5" customHeight="1" spans="1:9">
      <c r="A114" s="66"/>
      <c r="B114" s="77"/>
      <c r="C114" s="66" t="s">
        <v>208</v>
      </c>
      <c r="D114" s="67" t="s">
        <v>160</v>
      </c>
      <c r="E114" s="68">
        <f>(0.9*6*2*3+(6*1.7+0.9*12)*7)*12*12*0.00617/1000</f>
        <v>0.159393312</v>
      </c>
      <c r="F114" s="64">
        <v>4900</v>
      </c>
      <c r="G114" s="64">
        <f t="shared" si="2"/>
        <v>781.0272288</v>
      </c>
      <c r="H114" s="81" t="s">
        <v>46</v>
      </c>
      <c r="I114" s="69"/>
    </row>
    <row r="115" ht="28.5" customHeight="1" spans="1:9">
      <c r="A115" s="66"/>
      <c r="B115" s="77"/>
      <c r="C115" s="66" t="s">
        <v>256</v>
      </c>
      <c r="D115" s="67" t="s">
        <v>160</v>
      </c>
      <c r="E115" s="68">
        <f>(15.26*(1.46/0.15+1)+1.46*(15.26/0.15+1)+8*(2.4/0.15+1)+2.4*(8/0.15+1))*2*10*10*0.00617/1000</f>
        <v>0.715943765333333</v>
      </c>
      <c r="F115" s="64">
        <v>4900</v>
      </c>
      <c r="G115" s="64">
        <f t="shared" si="2"/>
        <v>3508.12445013333</v>
      </c>
      <c r="H115" s="81" t="s">
        <v>46</v>
      </c>
      <c r="I115" s="69"/>
    </row>
    <row r="116" ht="28.5" customHeight="1" spans="1:9">
      <c r="A116" s="66"/>
      <c r="B116" s="77"/>
      <c r="C116" s="66" t="s">
        <v>257</v>
      </c>
      <c r="D116" s="67" t="s">
        <v>160</v>
      </c>
      <c r="E116" s="68">
        <f>0.3*4*(8*17+(0.5/0.15+1)*7+(1.4/0.15+1)*6+(2.7/0.15+1)*4+(2/0.15+1)*3+(2.72/0.15+1)*2)*8*8*0.00617/1000</f>
        <v>0.1827188736</v>
      </c>
      <c r="F116" s="64">
        <v>4900</v>
      </c>
      <c r="G116" s="64">
        <f t="shared" si="2"/>
        <v>895.32248064</v>
      </c>
      <c r="H116" s="81" t="s">
        <v>46</v>
      </c>
      <c r="I116" s="69"/>
    </row>
    <row r="117" ht="28.5" customHeight="1" spans="1:9">
      <c r="A117" s="66"/>
      <c r="B117" s="77"/>
      <c r="C117" s="66" t="s">
        <v>258</v>
      </c>
      <c r="D117" s="67" t="s">
        <v>160</v>
      </c>
      <c r="E117" s="68">
        <f>((0.5+0.3)*7+(1.4+0.3)*6+(2.7+0.3)*4+(2+0.3)*3+(2.72+0.3)*2)*4*14*14*0.00617/1000</f>
        <v>0.1970707872</v>
      </c>
      <c r="F117" s="64">
        <v>4900</v>
      </c>
      <c r="G117" s="64">
        <f t="shared" si="2"/>
        <v>965.64685728</v>
      </c>
      <c r="H117" s="81" t="s">
        <v>46</v>
      </c>
      <c r="I117" s="69"/>
    </row>
    <row r="118" ht="70" customHeight="1" spans="1:9">
      <c r="A118" s="102">
        <v>9</v>
      </c>
      <c r="B118" s="100" t="s">
        <v>259</v>
      </c>
      <c r="C118" s="66" t="s">
        <v>259</v>
      </c>
      <c r="D118" s="67" t="s">
        <v>160</v>
      </c>
      <c r="E118" s="68">
        <f>11.2*4.16*3*2.6</f>
        <v>363.4176</v>
      </c>
      <c r="F118" s="64">
        <v>0</v>
      </c>
      <c r="G118" s="64">
        <f t="shared" si="2"/>
        <v>0</v>
      </c>
      <c r="H118" s="81" t="s">
        <v>36</v>
      </c>
      <c r="I118" s="69"/>
    </row>
    <row r="119" ht="28.5" customHeight="1" spans="1:9">
      <c r="A119" s="66">
        <v>10</v>
      </c>
      <c r="B119" s="80" t="s">
        <v>260</v>
      </c>
      <c r="C119" s="66" t="s">
        <v>67</v>
      </c>
      <c r="D119" s="67" t="s">
        <v>45</v>
      </c>
      <c r="E119" s="64">
        <v>120.88</v>
      </c>
      <c r="F119" s="64">
        <v>110</v>
      </c>
      <c r="G119" s="64">
        <f t="shared" si="2"/>
        <v>13296.8</v>
      </c>
      <c r="H119" s="81" t="s">
        <v>46</v>
      </c>
      <c r="I119" s="69"/>
    </row>
    <row r="120" ht="31" customHeight="1" spans="1:9">
      <c r="A120" s="66"/>
      <c r="B120" s="77" t="s">
        <v>261</v>
      </c>
      <c r="C120" s="66" t="s">
        <v>262</v>
      </c>
      <c r="D120" s="67" t="s">
        <v>45</v>
      </c>
      <c r="E120" s="64">
        <v>120.88</v>
      </c>
      <c r="F120" s="64">
        <v>395</v>
      </c>
      <c r="G120" s="64">
        <f t="shared" si="2"/>
        <v>47747.6</v>
      </c>
      <c r="H120" s="81" t="s">
        <v>46</v>
      </c>
      <c r="I120" s="69"/>
    </row>
    <row r="121" ht="28.5" customHeight="1" spans="1:9">
      <c r="A121" s="66"/>
      <c r="B121" s="77"/>
      <c r="C121" s="66" t="s">
        <v>263</v>
      </c>
      <c r="D121" s="67" t="s">
        <v>39</v>
      </c>
      <c r="E121" s="64">
        <v>1208.8</v>
      </c>
      <c r="F121" s="64">
        <v>12</v>
      </c>
      <c r="G121" s="64">
        <f t="shared" si="2"/>
        <v>14505.6</v>
      </c>
      <c r="H121" s="81" t="s">
        <v>46</v>
      </c>
      <c r="I121" s="69"/>
    </row>
    <row r="122" ht="28.5" customHeight="1" spans="1:9">
      <c r="A122" s="66"/>
      <c r="B122" s="77" t="s">
        <v>264</v>
      </c>
      <c r="C122" s="66" t="s">
        <v>265</v>
      </c>
      <c r="D122" s="67" t="s">
        <v>45</v>
      </c>
      <c r="E122" s="64">
        <v>181.32</v>
      </c>
      <c r="F122" s="64">
        <v>525</v>
      </c>
      <c r="G122" s="64">
        <f t="shared" si="2"/>
        <v>95193</v>
      </c>
      <c r="H122" s="81" t="s">
        <v>46</v>
      </c>
      <c r="I122" s="69"/>
    </row>
    <row r="123" ht="28.5" customHeight="1" spans="1:9">
      <c r="A123" s="66"/>
      <c r="B123" s="77"/>
      <c r="C123" s="66" t="s">
        <v>266</v>
      </c>
      <c r="D123" s="67" t="s">
        <v>160</v>
      </c>
      <c r="E123" s="64">
        <v>9.54952</v>
      </c>
      <c r="F123" s="64">
        <v>4900</v>
      </c>
      <c r="G123" s="64">
        <f t="shared" si="2"/>
        <v>46792.648</v>
      </c>
      <c r="H123" s="81" t="s">
        <v>46</v>
      </c>
      <c r="I123" s="69"/>
    </row>
    <row r="124" ht="31" customHeight="1" spans="1:9">
      <c r="A124" s="66"/>
      <c r="B124" s="77"/>
      <c r="C124" s="66" t="s">
        <v>232</v>
      </c>
      <c r="D124" s="67" t="s">
        <v>39</v>
      </c>
      <c r="E124" s="64">
        <v>1208.8</v>
      </c>
      <c r="F124" s="64">
        <v>52</v>
      </c>
      <c r="G124" s="64">
        <f t="shared" si="2"/>
        <v>62857.6</v>
      </c>
      <c r="H124" s="81" t="s">
        <v>46</v>
      </c>
      <c r="I124" s="69"/>
    </row>
    <row r="125" ht="31" customHeight="1" spans="1:9">
      <c r="A125" s="66"/>
      <c r="B125" s="77"/>
      <c r="C125" s="66" t="s">
        <v>253</v>
      </c>
      <c r="D125" s="67" t="s">
        <v>39</v>
      </c>
      <c r="E125" s="64">
        <f>E121</f>
        <v>1208.8</v>
      </c>
      <c r="F125" s="64">
        <v>15</v>
      </c>
      <c r="G125" s="64">
        <f t="shared" si="2"/>
        <v>18132</v>
      </c>
      <c r="H125" s="81" t="s">
        <v>46</v>
      </c>
      <c r="I125" s="69"/>
    </row>
    <row r="126" ht="31" customHeight="1" spans="1:9">
      <c r="A126" s="66"/>
      <c r="B126" s="77"/>
      <c r="C126" s="66" t="s">
        <v>253</v>
      </c>
      <c r="D126" s="67" t="s">
        <v>39</v>
      </c>
      <c r="E126" s="64">
        <f>E121</f>
        <v>1208.8</v>
      </c>
      <c r="F126" s="64">
        <v>15</v>
      </c>
      <c r="G126" s="64">
        <f t="shared" si="2"/>
        <v>18132</v>
      </c>
      <c r="H126" s="81" t="s">
        <v>46</v>
      </c>
      <c r="I126" s="69"/>
    </row>
    <row r="127" ht="31" customHeight="1" spans="1:9">
      <c r="A127" s="66"/>
      <c r="B127" s="77"/>
      <c r="C127" s="66" t="s">
        <v>165</v>
      </c>
      <c r="D127" s="67" t="s">
        <v>45</v>
      </c>
      <c r="E127" s="64">
        <f>995*1.2</f>
        <v>1194</v>
      </c>
      <c r="F127" s="64">
        <v>10</v>
      </c>
      <c r="G127" s="64">
        <f t="shared" si="2"/>
        <v>11940</v>
      </c>
      <c r="H127" s="81" t="s">
        <v>46</v>
      </c>
      <c r="I127" s="69"/>
    </row>
    <row r="128" ht="31" customHeight="1" spans="1:9">
      <c r="A128" s="66"/>
      <c r="B128" s="77"/>
      <c r="C128" s="66" t="s">
        <v>204</v>
      </c>
      <c r="D128" s="67" t="s">
        <v>45</v>
      </c>
      <c r="E128" s="64">
        <f>995*1.2-813*1.2</f>
        <v>218.4</v>
      </c>
      <c r="F128" s="64">
        <v>8</v>
      </c>
      <c r="G128" s="64">
        <f t="shared" si="2"/>
        <v>1747.2</v>
      </c>
      <c r="H128" s="81" t="s">
        <v>46</v>
      </c>
      <c r="I128" s="69"/>
    </row>
    <row r="129" ht="31" customHeight="1" spans="1:9">
      <c r="A129" s="66"/>
      <c r="B129" s="66" t="s">
        <v>221</v>
      </c>
      <c r="C129" s="66" t="s">
        <v>267</v>
      </c>
      <c r="D129" s="68" t="s">
        <v>45</v>
      </c>
      <c r="E129" s="64">
        <f>(161+16+19)*0.24*0.43</f>
        <v>20.2272</v>
      </c>
      <c r="F129" s="64">
        <v>570</v>
      </c>
      <c r="G129" s="64">
        <f t="shared" si="2"/>
        <v>11529.504</v>
      </c>
      <c r="H129" s="81" t="s">
        <v>46</v>
      </c>
      <c r="I129" s="69"/>
    </row>
    <row r="130" ht="31" customHeight="1" spans="1:9">
      <c r="A130" s="66"/>
      <c r="B130" s="77"/>
      <c r="C130" s="66" t="s">
        <v>222</v>
      </c>
      <c r="D130" s="67" t="s">
        <v>39</v>
      </c>
      <c r="E130" s="64">
        <f>(161+16+19)*(0.45*2+0.28)</f>
        <v>231.28</v>
      </c>
      <c r="F130" s="64">
        <v>20</v>
      </c>
      <c r="G130" s="64">
        <f t="shared" si="2"/>
        <v>4625.6</v>
      </c>
      <c r="H130" s="81" t="s">
        <v>46</v>
      </c>
      <c r="I130" s="69"/>
    </row>
    <row r="131" ht="31" customHeight="1" spans="1:9">
      <c r="A131" s="66"/>
      <c r="B131" s="77"/>
      <c r="C131" s="66" t="s">
        <v>268</v>
      </c>
      <c r="D131" s="67" t="s">
        <v>160</v>
      </c>
      <c r="E131" s="64"/>
      <c r="F131" s="64">
        <v>950</v>
      </c>
      <c r="G131" s="64">
        <f t="shared" si="2"/>
        <v>0</v>
      </c>
      <c r="H131" s="81"/>
      <c r="I131" s="69" t="s">
        <v>269</v>
      </c>
    </row>
    <row r="132" ht="27" spans="1:9">
      <c r="A132" s="104">
        <v>11</v>
      </c>
      <c r="B132" s="105" t="s">
        <v>270</v>
      </c>
      <c r="C132" s="66" t="s">
        <v>165</v>
      </c>
      <c r="D132" s="67" t="s">
        <v>45</v>
      </c>
      <c r="E132" s="64">
        <f>0.7*0.94*68.343</f>
        <v>44.969694</v>
      </c>
      <c r="F132" s="64">
        <v>10</v>
      </c>
      <c r="G132" s="64">
        <f t="shared" si="2"/>
        <v>449.69694</v>
      </c>
      <c r="H132" s="81" t="s">
        <v>46</v>
      </c>
      <c r="I132" s="69"/>
    </row>
    <row r="133" ht="25" customHeight="1" spans="1:9">
      <c r="A133" s="66"/>
      <c r="B133" s="77">
        <f>10.826+7.2+11.074+14.984+6.318+6.689+11.252</f>
        <v>68.343</v>
      </c>
      <c r="C133" s="66" t="s">
        <v>204</v>
      </c>
      <c r="D133" s="67" t="s">
        <v>45</v>
      </c>
      <c r="E133" s="64">
        <f>E132-E135-E136-E137+0.3*0.5*68.343</f>
        <v>11.071566</v>
      </c>
      <c r="F133" s="64">
        <v>8</v>
      </c>
      <c r="G133" s="64">
        <f t="shared" ref="G133:G196" si="4">E133*F133</f>
        <v>88.572528</v>
      </c>
      <c r="H133" s="81" t="s">
        <v>46</v>
      </c>
      <c r="I133" s="69"/>
    </row>
    <row r="134" ht="25" customHeight="1" spans="1:9">
      <c r="A134" s="66"/>
      <c r="B134" s="77"/>
      <c r="C134" s="66" t="s">
        <v>189</v>
      </c>
      <c r="D134" s="67" t="s">
        <v>39</v>
      </c>
      <c r="E134" s="64">
        <f>0.94*68.343</f>
        <v>64.24242</v>
      </c>
      <c r="F134" s="64">
        <v>2.5</v>
      </c>
      <c r="G134" s="64">
        <f t="shared" si="4"/>
        <v>160.60605</v>
      </c>
      <c r="H134" s="81" t="s">
        <v>46</v>
      </c>
      <c r="I134" s="69"/>
    </row>
    <row r="135" ht="25" customHeight="1" spans="1:9">
      <c r="A135" s="66"/>
      <c r="B135" s="77"/>
      <c r="C135" s="66" t="s">
        <v>67</v>
      </c>
      <c r="D135" s="67" t="s">
        <v>45</v>
      </c>
      <c r="E135" s="64">
        <f>0.94*68.343*0.1</f>
        <v>6.424242</v>
      </c>
      <c r="F135" s="64">
        <v>110</v>
      </c>
      <c r="G135" s="64">
        <f t="shared" si="4"/>
        <v>706.66662</v>
      </c>
      <c r="H135" s="81" t="s">
        <v>46</v>
      </c>
      <c r="I135" s="69"/>
    </row>
    <row r="136" ht="25" customHeight="1" spans="1:9">
      <c r="A136" s="66"/>
      <c r="B136" s="77"/>
      <c r="C136" s="66" t="s">
        <v>155</v>
      </c>
      <c r="D136" s="67" t="s">
        <v>45</v>
      </c>
      <c r="E136" s="64">
        <f>0.94*68.343*0.1</f>
        <v>6.424242</v>
      </c>
      <c r="F136" s="64">
        <v>380</v>
      </c>
      <c r="G136" s="64">
        <f t="shared" si="4"/>
        <v>2441.21196</v>
      </c>
      <c r="H136" s="81" t="s">
        <v>46</v>
      </c>
      <c r="I136" s="69"/>
    </row>
    <row r="137" ht="22" customHeight="1" spans="1:9">
      <c r="A137" s="66"/>
      <c r="B137" s="66" t="s">
        <v>221</v>
      </c>
      <c r="C137" s="66" t="s">
        <v>271</v>
      </c>
      <c r="D137" s="68" t="s">
        <v>45</v>
      </c>
      <c r="E137" s="64">
        <f>0.458*68.343</f>
        <v>31.301094</v>
      </c>
      <c r="F137" s="64">
        <v>570</v>
      </c>
      <c r="G137" s="64">
        <f t="shared" si="4"/>
        <v>17841.62358</v>
      </c>
      <c r="H137" s="81" t="s">
        <v>46</v>
      </c>
      <c r="I137" s="69"/>
    </row>
    <row r="138" ht="32" customHeight="1" spans="1:9">
      <c r="A138" s="66"/>
      <c r="B138" s="77"/>
      <c r="C138" s="66" t="s">
        <v>272</v>
      </c>
      <c r="D138" s="67" t="s">
        <v>39</v>
      </c>
      <c r="E138" s="64">
        <f>0.6*68.343</f>
        <v>41.0058</v>
      </c>
      <c r="F138" s="64">
        <v>72</v>
      </c>
      <c r="G138" s="64">
        <f t="shared" si="4"/>
        <v>2952.4176</v>
      </c>
      <c r="H138" s="81" t="s">
        <v>51</v>
      </c>
      <c r="I138" s="110" t="s">
        <v>273</v>
      </c>
    </row>
    <row r="139" ht="34" customHeight="1" spans="1:9">
      <c r="A139" s="66"/>
      <c r="B139" s="77"/>
      <c r="C139" s="66" t="s">
        <v>274</v>
      </c>
      <c r="D139" s="67" t="s">
        <v>39</v>
      </c>
      <c r="E139" s="64">
        <f>0.35*68.343*2+0.35*0.6*2*7</f>
        <v>50.7801</v>
      </c>
      <c r="F139" s="64">
        <v>72</v>
      </c>
      <c r="G139" s="64">
        <f t="shared" si="4"/>
        <v>3656.1672</v>
      </c>
      <c r="H139" s="81" t="s">
        <v>51</v>
      </c>
      <c r="I139" s="69" t="s">
        <v>275</v>
      </c>
    </row>
    <row r="140" ht="27" spans="1:9">
      <c r="A140" s="66">
        <v>12</v>
      </c>
      <c r="B140" s="79" t="s">
        <v>276</v>
      </c>
      <c r="C140" s="66"/>
      <c r="D140" s="67"/>
      <c r="E140" s="64"/>
      <c r="F140" s="64"/>
      <c r="G140" s="64"/>
      <c r="H140" s="81"/>
      <c r="I140" s="69"/>
    </row>
    <row r="141" ht="30" customHeight="1" spans="1:9">
      <c r="A141" s="66"/>
      <c r="B141" s="66"/>
      <c r="C141" s="66" t="s">
        <v>165</v>
      </c>
      <c r="D141" s="67" t="s">
        <v>45</v>
      </c>
      <c r="E141" s="64">
        <f>0.88*0.8*7.8*2</f>
        <v>10.9824</v>
      </c>
      <c r="F141" s="64">
        <v>10</v>
      </c>
      <c r="G141" s="64">
        <f t="shared" si="4"/>
        <v>109.824</v>
      </c>
      <c r="H141" s="81" t="s">
        <v>46</v>
      </c>
      <c r="I141" s="69"/>
    </row>
    <row r="142" ht="30" customHeight="1" spans="1:9">
      <c r="A142" s="66"/>
      <c r="B142" s="66"/>
      <c r="C142" s="66" t="s">
        <v>204</v>
      </c>
      <c r="D142" s="67" t="s">
        <v>45</v>
      </c>
      <c r="E142" s="64">
        <f>E141-E144-E145-E147-0.133*7.8</f>
        <v>5.92644</v>
      </c>
      <c r="F142" s="64">
        <v>8</v>
      </c>
      <c r="G142" s="64">
        <f t="shared" si="4"/>
        <v>47.41152</v>
      </c>
      <c r="H142" s="81" t="s">
        <v>46</v>
      </c>
      <c r="I142" s="69"/>
    </row>
    <row r="143" ht="30" customHeight="1" spans="1:9">
      <c r="A143" s="66"/>
      <c r="B143" s="66"/>
      <c r="C143" s="66" t="s">
        <v>189</v>
      </c>
      <c r="D143" s="67" t="s">
        <v>39</v>
      </c>
      <c r="E143" s="64">
        <f>0.88*7.8*2</f>
        <v>13.728</v>
      </c>
      <c r="F143" s="64">
        <v>2.5</v>
      </c>
      <c r="G143" s="64">
        <f t="shared" si="4"/>
        <v>34.32</v>
      </c>
      <c r="H143" s="81" t="s">
        <v>46</v>
      </c>
      <c r="I143" s="69"/>
    </row>
    <row r="144" ht="30" customHeight="1" spans="1:9">
      <c r="A144" s="66"/>
      <c r="B144" s="66"/>
      <c r="C144" s="66" t="s">
        <v>47</v>
      </c>
      <c r="D144" s="67" t="s">
        <v>45</v>
      </c>
      <c r="E144" s="64">
        <f>0.88*0.15*7.8*2</f>
        <v>2.0592</v>
      </c>
      <c r="F144" s="64">
        <v>110</v>
      </c>
      <c r="G144" s="64">
        <f t="shared" si="4"/>
        <v>226.512</v>
      </c>
      <c r="H144" s="81" t="s">
        <v>46</v>
      </c>
      <c r="I144" s="69"/>
    </row>
    <row r="145" ht="30" customHeight="1" spans="1:9">
      <c r="A145" s="66"/>
      <c r="B145" s="66"/>
      <c r="C145" s="66" t="s">
        <v>277</v>
      </c>
      <c r="D145" s="67" t="s">
        <v>45</v>
      </c>
      <c r="E145" s="64">
        <f>0.68*0.1*7.8*2</f>
        <v>1.0608</v>
      </c>
      <c r="F145" s="64">
        <v>370</v>
      </c>
      <c r="G145" s="64">
        <f t="shared" si="4"/>
        <v>392.496</v>
      </c>
      <c r="H145" s="81" t="s">
        <v>46</v>
      </c>
      <c r="I145" s="69"/>
    </row>
    <row r="146" ht="30" customHeight="1" spans="1:9">
      <c r="A146" s="66"/>
      <c r="B146" s="66" t="s">
        <v>221</v>
      </c>
      <c r="C146" s="66" t="s">
        <v>271</v>
      </c>
      <c r="D146" s="68" t="s">
        <v>45</v>
      </c>
      <c r="E146" s="64">
        <f>(0.133*7.8+0.24*7.8*2.74)*2</f>
        <v>12.33336</v>
      </c>
      <c r="F146" s="64">
        <v>570</v>
      </c>
      <c r="G146" s="64">
        <f t="shared" si="4"/>
        <v>7030.0152</v>
      </c>
      <c r="H146" s="81" t="s">
        <v>46</v>
      </c>
      <c r="I146" s="69"/>
    </row>
    <row r="147" ht="30" customHeight="1" spans="1:9">
      <c r="A147" s="66"/>
      <c r="B147" s="66" t="s">
        <v>278</v>
      </c>
      <c r="C147" s="66" t="s">
        <v>279</v>
      </c>
      <c r="D147" s="67" t="s">
        <v>45</v>
      </c>
      <c r="E147" s="64">
        <f>0.24*0.24*7.8*2</f>
        <v>0.89856</v>
      </c>
      <c r="F147" s="64">
        <v>600</v>
      </c>
      <c r="G147" s="64">
        <f t="shared" si="4"/>
        <v>539.136</v>
      </c>
      <c r="H147" s="81" t="s">
        <v>46</v>
      </c>
      <c r="I147" s="69" t="s">
        <v>280</v>
      </c>
    </row>
    <row r="148" ht="25.05" customHeight="1" spans="1:9">
      <c r="A148" s="66"/>
      <c r="B148" s="66" t="s">
        <v>281</v>
      </c>
      <c r="C148" s="66" t="s">
        <v>282</v>
      </c>
      <c r="D148" s="67" t="s">
        <v>45</v>
      </c>
      <c r="E148" s="64">
        <f>0.24*0.24*2.74*3*2</f>
        <v>0.946944</v>
      </c>
      <c r="F148" s="64">
        <v>600</v>
      </c>
      <c r="G148" s="64">
        <f t="shared" si="4"/>
        <v>568.1664</v>
      </c>
      <c r="H148" s="81" t="s">
        <v>46</v>
      </c>
      <c r="I148" s="69" t="s">
        <v>280</v>
      </c>
    </row>
    <row r="149" ht="54" customHeight="1" spans="1:14">
      <c r="A149" s="66"/>
      <c r="B149" s="66" t="s">
        <v>283</v>
      </c>
      <c r="C149" s="66" t="s">
        <v>284</v>
      </c>
      <c r="D149" s="67" t="s">
        <v>160</v>
      </c>
      <c r="E149" s="68">
        <f>(3*4*3*12*12+7.8*4*10*10+0.24*4*((2.8/0.2+1)*3+(7.8/0.2+1))*6*6)*0.00617/1000*2</f>
        <v>0.138721344</v>
      </c>
      <c r="F149" s="64">
        <v>4900</v>
      </c>
      <c r="G149" s="64">
        <f t="shared" si="4"/>
        <v>679.7345856</v>
      </c>
      <c r="H149" s="81" t="s">
        <v>46</v>
      </c>
      <c r="I149" s="69"/>
      <c r="N149" s="20"/>
    </row>
    <row r="150" s="20" customFormat="1" ht="39" customHeight="1" spans="1:15">
      <c r="A150" s="66"/>
      <c r="B150" s="66" t="s">
        <v>285</v>
      </c>
      <c r="C150" s="66" t="s">
        <v>286</v>
      </c>
      <c r="D150" s="67" t="s">
        <v>39</v>
      </c>
      <c r="E150" s="64">
        <f>(7.8+0.32)*2.7*2*2</f>
        <v>87.696</v>
      </c>
      <c r="F150" s="64">
        <v>72</v>
      </c>
      <c r="G150" s="64">
        <f t="shared" si="4"/>
        <v>6314.112</v>
      </c>
      <c r="H150" s="81" t="s">
        <v>51</v>
      </c>
      <c r="I150" s="69"/>
      <c r="O150" s="62"/>
    </row>
    <row r="151" s="20" customFormat="1" ht="49" customHeight="1" spans="1:15">
      <c r="A151" s="66"/>
      <c r="B151" s="77" t="s">
        <v>285</v>
      </c>
      <c r="C151" s="66" t="s">
        <v>287</v>
      </c>
      <c r="D151" s="67" t="s">
        <v>39</v>
      </c>
      <c r="E151" s="64">
        <f>(7.8+0.32)*0.1*2*2</f>
        <v>3.248</v>
      </c>
      <c r="F151" s="64">
        <v>72</v>
      </c>
      <c r="G151" s="64">
        <f t="shared" si="4"/>
        <v>233.856</v>
      </c>
      <c r="H151" s="81" t="s">
        <v>51</v>
      </c>
      <c r="I151" s="69"/>
      <c r="O151" s="62"/>
    </row>
    <row r="152" s="20" customFormat="1" ht="52" customHeight="1" spans="1:15">
      <c r="A152" s="66"/>
      <c r="B152" s="77" t="s">
        <v>171</v>
      </c>
      <c r="C152" s="66" t="s">
        <v>288</v>
      </c>
      <c r="D152" s="67" t="s">
        <v>39</v>
      </c>
      <c r="E152" s="64">
        <f>0.35*7.8*2</f>
        <v>5.46</v>
      </c>
      <c r="F152" s="64">
        <v>72</v>
      </c>
      <c r="G152" s="64">
        <f t="shared" si="4"/>
        <v>393.12</v>
      </c>
      <c r="H152" s="81" t="s">
        <v>51</v>
      </c>
      <c r="I152" s="69"/>
      <c r="O152" s="62"/>
    </row>
    <row r="153" s="20" customFormat="1" ht="25.05" customHeight="1" spans="1:15">
      <c r="A153" s="66"/>
      <c r="B153" s="77" t="s">
        <v>289</v>
      </c>
      <c r="C153" s="66" t="s">
        <v>290</v>
      </c>
      <c r="D153" s="67" t="s">
        <v>291</v>
      </c>
      <c r="E153" s="64">
        <v>2</v>
      </c>
      <c r="F153" s="64">
        <v>0</v>
      </c>
      <c r="G153" s="64">
        <f t="shared" si="4"/>
        <v>0</v>
      </c>
      <c r="H153" s="81" t="s">
        <v>211</v>
      </c>
      <c r="I153" s="69" t="s">
        <v>292</v>
      </c>
      <c r="O153" s="62"/>
    </row>
    <row r="154" s="20" customFormat="1" ht="25.05" customHeight="1" spans="1:15">
      <c r="A154" s="66"/>
      <c r="B154" s="77" t="s">
        <v>293</v>
      </c>
      <c r="C154" s="66" t="s">
        <v>294</v>
      </c>
      <c r="D154" s="67" t="s">
        <v>291</v>
      </c>
      <c r="E154" s="64">
        <v>2</v>
      </c>
      <c r="F154" s="64">
        <v>0</v>
      </c>
      <c r="G154" s="64">
        <f t="shared" si="4"/>
        <v>0</v>
      </c>
      <c r="H154" s="81" t="s">
        <v>211</v>
      </c>
      <c r="I154" s="69" t="s">
        <v>292</v>
      </c>
      <c r="O154" s="62"/>
    </row>
    <row r="155" s="20" customFormat="1" ht="41" customHeight="1" spans="1:15">
      <c r="A155" s="66"/>
      <c r="B155" s="77" t="s">
        <v>295</v>
      </c>
      <c r="C155" s="66" t="s">
        <v>296</v>
      </c>
      <c r="D155" s="67" t="s">
        <v>56</v>
      </c>
      <c r="E155" s="64">
        <v>8</v>
      </c>
      <c r="F155" s="64">
        <v>200</v>
      </c>
      <c r="G155" s="64">
        <f t="shared" si="4"/>
        <v>1600</v>
      </c>
      <c r="H155" s="81" t="s">
        <v>297</v>
      </c>
      <c r="I155" s="69"/>
      <c r="O155" s="62"/>
    </row>
    <row r="156" s="20" customFormat="1" ht="68" customHeight="1" spans="1:15">
      <c r="A156" s="66"/>
      <c r="B156" s="77" t="s">
        <v>298</v>
      </c>
      <c r="C156" s="66" t="s">
        <v>299</v>
      </c>
      <c r="D156" s="67" t="s">
        <v>35</v>
      </c>
      <c r="E156" s="64">
        <f>1.38+1.85</f>
        <v>3.23</v>
      </c>
      <c r="F156" s="64">
        <v>0</v>
      </c>
      <c r="G156" s="64">
        <f t="shared" si="4"/>
        <v>0</v>
      </c>
      <c r="H156" s="81" t="s">
        <v>211</v>
      </c>
      <c r="I156" s="69"/>
      <c r="O156" s="62"/>
    </row>
    <row r="157" s="20" customFormat="1" ht="25.05" customHeight="1" spans="1:15">
      <c r="A157" s="66">
        <v>13</v>
      </c>
      <c r="B157" s="80" t="s">
        <v>300</v>
      </c>
      <c r="C157" s="66"/>
      <c r="D157" s="67"/>
      <c r="E157" s="64"/>
      <c r="F157" s="64"/>
      <c r="G157" s="64"/>
      <c r="H157" s="81"/>
      <c r="I157" s="69"/>
      <c r="N157" s="73"/>
      <c r="O157" s="62"/>
    </row>
    <row r="158" s="73" customFormat="1" ht="25.05" customHeight="1" spans="1:15">
      <c r="A158" s="102"/>
      <c r="B158" s="106" t="s">
        <v>165</v>
      </c>
      <c r="C158" s="102" t="s">
        <v>165</v>
      </c>
      <c r="D158" s="107" t="s">
        <v>45</v>
      </c>
      <c r="E158" s="64">
        <f>1.35*1.35*4*1.6+2.5*4*0.4*0.4</f>
        <v>13.264</v>
      </c>
      <c r="F158" s="64">
        <v>10</v>
      </c>
      <c r="G158" s="64">
        <f t="shared" si="4"/>
        <v>132.64</v>
      </c>
      <c r="H158" s="81" t="s">
        <v>46</v>
      </c>
      <c r="I158" s="111"/>
      <c r="O158" s="62"/>
    </row>
    <row r="159" s="73" customFormat="1" ht="25.05" customHeight="1" spans="1:15">
      <c r="A159" s="102"/>
      <c r="B159" s="106" t="s">
        <v>204</v>
      </c>
      <c r="C159" s="102"/>
      <c r="D159" s="107" t="s">
        <v>45</v>
      </c>
      <c r="E159" s="64">
        <f>E158-E160-E161-E163</f>
        <v>9.8352</v>
      </c>
      <c r="F159" s="64">
        <v>8</v>
      </c>
      <c r="G159" s="64">
        <f t="shared" si="4"/>
        <v>78.6816</v>
      </c>
      <c r="H159" s="81" t="s">
        <v>46</v>
      </c>
      <c r="I159" s="111"/>
      <c r="O159" s="62"/>
    </row>
    <row r="160" s="73" customFormat="1" ht="25.05" customHeight="1" spans="1:15">
      <c r="A160" s="102"/>
      <c r="B160" s="106" t="s">
        <v>301</v>
      </c>
      <c r="C160" s="102" t="s">
        <v>168</v>
      </c>
      <c r="D160" s="107" t="s">
        <v>45</v>
      </c>
      <c r="E160" s="64">
        <f>1.35*1.35*4*0.1+2.5*4*0.4*0.1</f>
        <v>1.129</v>
      </c>
      <c r="F160" s="64">
        <v>370</v>
      </c>
      <c r="G160" s="64">
        <f t="shared" si="4"/>
        <v>417.73</v>
      </c>
      <c r="H160" s="81" t="s">
        <v>46</v>
      </c>
      <c r="I160" s="111"/>
      <c r="O160" s="62"/>
    </row>
    <row r="161" s="73" customFormat="1" ht="25.05" customHeight="1" spans="1:15">
      <c r="A161" s="102"/>
      <c r="B161" s="106" t="s">
        <v>302</v>
      </c>
      <c r="C161" s="102" t="s">
        <v>303</v>
      </c>
      <c r="D161" s="107" t="s">
        <v>45</v>
      </c>
      <c r="E161" s="64">
        <f>1.15*1.15*0.3*4</f>
        <v>1.587</v>
      </c>
      <c r="F161" s="64">
        <v>530</v>
      </c>
      <c r="G161" s="64">
        <f t="shared" si="4"/>
        <v>841.11</v>
      </c>
      <c r="H161" s="81" t="s">
        <v>46</v>
      </c>
      <c r="I161" s="111"/>
      <c r="O161" s="62"/>
    </row>
    <row r="162" s="73" customFormat="1" ht="25.05" customHeight="1" spans="1:15">
      <c r="A162" s="102"/>
      <c r="B162" s="106" t="s">
        <v>304</v>
      </c>
      <c r="C162" s="102" t="s">
        <v>303</v>
      </c>
      <c r="D162" s="107" t="s">
        <v>45</v>
      </c>
      <c r="E162" s="64">
        <f>0.3*0.3*4.4*4</f>
        <v>1.584</v>
      </c>
      <c r="F162" s="64">
        <v>610</v>
      </c>
      <c r="G162" s="64">
        <f t="shared" si="4"/>
        <v>966.24</v>
      </c>
      <c r="H162" s="81" t="s">
        <v>46</v>
      </c>
      <c r="I162" s="111"/>
      <c r="O162" s="62"/>
    </row>
    <row r="163" s="73" customFormat="1" ht="25.05" customHeight="1" spans="1:15">
      <c r="A163" s="102"/>
      <c r="B163" s="106" t="s">
        <v>305</v>
      </c>
      <c r="C163" s="102" t="s">
        <v>303</v>
      </c>
      <c r="D163" s="107" t="s">
        <v>45</v>
      </c>
      <c r="E163" s="64">
        <f>0.3*0.3*1.98*4</f>
        <v>0.7128</v>
      </c>
      <c r="F163" s="64">
        <v>610</v>
      </c>
      <c r="G163" s="64">
        <f t="shared" si="4"/>
        <v>434.808</v>
      </c>
      <c r="H163" s="81" t="s">
        <v>46</v>
      </c>
      <c r="I163" s="111"/>
      <c r="O163" s="62"/>
    </row>
    <row r="164" s="73" customFormat="1" ht="25.05" customHeight="1" spans="1:15">
      <c r="A164" s="102"/>
      <c r="B164" s="106" t="s">
        <v>306</v>
      </c>
      <c r="C164" s="102" t="s">
        <v>303</v>
      </c>
      <c r="D164" s="107" t="s">
        <v>45</v>
      </c>
      <c r="E164" s="64">
        <f>1.98*1.98*0.12+0.3*0.3*2.5*4</f>
        <v>1.370448</v>
      </c>
      <c r="F164" s="64">
        <v>610</v>
      </c>
      <c r="G164" s="64">
        <f t="shared" si="4"/>
        <v>835.97328</v>
      </c>
      <c r="H164" s="81" t="s">
        <v>46</v>
      </c>
      <c r="I164" s="111"/>
      <c r="O164" s="62"/>
    </row>
    <row r="165" s="73" customFormat="1" ht="25.05" customHeight="1" spans="1:15">
      <c r="A165" s="102"/>
      <c r="B165" s="106" t="s">
        <v>307</v>
      </c>
      <c r="C165" s="102" t="s">
        <v>308</v>
      </c>
      <c r="D165" s="107" t="s">
        <v>45</v>
      </c>
      <c r="E165" s="64">
        <f>0.3*0.2*(1.9*2+1.5*2)</f>
        <v>0.408</v>
      </c>
      <c r="F165" s="64">
        <v>600</v>
      </c>
      <c r="G165" s="64">
        <f t="shared" si="4"/>
        <v>244.8</v>
      </c>
      <c r="H165" s="81" t="s">
        <v>46</v>
      </c>
      <c r="I165" s="111"/>
      <c r="O165" s="62"/>
    </row>
    <row r="166" s="73" customFormat="1" ht="25.05" customHeight="1" spans="1:15">
      <c r="A166" s="102"/>
      <c r="B166" s="77" t="s">
        <v>309</v>
      </c>
      <c r="C166" s="66" t="s">
        <v>310</v>
      </c>
      <c r="D166" s="107" t="s">
        <v>45</v>
      </c>
      <c r="E166" s="64">
        <f>0.3*0.12*(1.9*2+1.5*2)</f>
        <v>0.2448</v>
      </c>
      <c r="F166" s="64">
        <v>600</v>
      </c>
      <c r="G166" s="64">
        <f t="shared" si="4"/>
        <v>146.88</v>
      </c>
      <c r="H166" s="81" t="s">
        <v>46</v>
      </c>
      <c r="I166" s="111"/>
      <c r="O166" s="62"/>
    </row>
    <row r="167" s="73" customFormat="1" ht="25.05" customHeight="1" spans="1:15">
      <c r="A167" s="102"/>
      <c r="B167" s="106" t="s">
        <v>311</v>
      </c>
      <c r="C167" s="102" t="s">
        <v>312</v>
      </c>
      <c r="D167" s="107" t="s">
        <v>45</v>
      </c>
      <c r="E167" s="64">
        <f>(2.5*4*4.72-1.5*1.7-1.1*2.4)*0.3-E162-E163-E164-E165-E166</f>
        <v>8.282952</v>
      </c>
      <c r="F167" s="64">
        <v>545</v>
      </c>
      <c r="G167" s="64">
        <f t="shared" si="4"/>
        <v>4514.20884</v>
      </c>
      <c r="H167" s="81" t="s">
        <v>46</v>
      </c>
      <c r="I167" s="111"/>
      <c r="O167" s="62"/>
    </row>
    <row r="168" s="73" customFormat="1" ht="67" customHeight="1" spans="1:15">
      <c r="A168" s="102"/>
      <c r="B168" s="106" t="s">
        <v>283</v>
      </c>
      <c r="C168" s="102" t="s">
        <v>313</v>
      </c>
      <c r="D168" s="67" t="s">
        <v>160</v>
      </c>
      <c r="E168" s="68">
        <f>(7*2*1.2*4*12*12+5.3*8*4*18*18+2.5*4*4*2*18*18+2.5*18*4*10*10+(1.9*2+1.5*2)*4*12*12+1.2*(52*4+26*4*2+18*2+15*2)*8*8)*0.00617/1000</f>
        <v>0.922301472</v>
      </c>
      <c r="F168" s="64">
        <v>4900</v>
      </c>
      <c r="G168" s="64">
        <f t="shared" si="4"/>
        <v>4519.2772128</v>
      </c>
      <c r="H168" s="81" t="s">
        <v>46</v>
      </c>
      <c r="I168" s="111"/>
      <c r="O168" s="62"/>
    </row>
    <row r="169" s="73" customFormat="1" ht="25.05" customHeight="1" spans="1:15">
      <c r="A169" s="102"/>
      <c r="B169" s="106" t="s">
        <v>314</v>
      </c>
      <c r="C169" s="102" t="s">
        <v>315</v>
      </c>
      <c r="D169" s="107" t="s">
        <v>39</v>
      </c>
      <c r="E169" s="64">
        <f>1.5*1.7+1.1*2.4</f>
        <v>5.19</v>
      </c>
      <c r="F169" s="64">
        <v>550</v>
      </c>
      <c r="G169" s="64">
        <f t="shared" si="4"/>
        <v>2854.5</v>
      </c>
      <c r="H169" s="81" t="s">
        <v>46</v>
      </c>
      <c r="I169" s="111"/>
      <c r="O169" s="62"/>
    </row>
    <row r="170" s="73" customFormat="1" ht="69" customHeight="1" spans="1:15">
      <c r="A170" s="102"/>
      <c r="B170" s="106" t="s">
        <v>316</v>
      </c>
      <c r="C170" s="102" t="s">
        <v>317</v>
      </c>
      <c r="D170" s="107" t="s">
        <v>39</v>
      </c>
      <c r="E170" s="64">
        <f>2.5*2.5</f>
        <v>6.25</v>
      </c>
      <c r="F170" s="64">
        <v>117.1</v>
      </c>
      <c r="G170" s="64">
        <f t="shared" si="4"/>
        <v>731.875</v>
      </c>
      <c r="H170" s="81" t="s">
        <v>46</v>
      </c>
      <c r="I170" s="111"/>
      <c r="O170" s="62"/>
    </row>
    <row r="171" s="73" customFormat="1" ht="98" customHeight="1" spans="1:15">
      <c r="A171" s="102"/>
      <c r="B171" s="106" t="s">
        <v>318</v>
      </c>
      <c r="C171" s="102" t="s">
        <v>319</v>
      </c>
      <c r="D171" s="107" t="s">
        <v>39</v>
      </c>
      <c r="E171" s="64">
        <f>2.5*4*3.9</f>
        <v>39</v>
      </c>
      <c r="F171" s="64">
        <v>70</v>
      </c>
      <c r="G171" s="64">
        <f t="shared" si="4"/>
        <v>2730</v>
      </c>
      <c r="H171" s="81" t="s">
        <v>46</v>
      </c>
      <c r="I171" s="111"/>
      <c r="O171" s="62"/>
    </row>
    <row r="172" s="73" customFormat="1" ht="80" customHeight="1" spans="1:15">
      <c r="A172" s="102"/>
      <c r="B172" s="106" t="s">
        <v>320</v>
      </c>
      <c r="C172" s="102" t="s">
        <v>321</v>
      </c>
      <c r="D172" s="107" t="s">
        <v>39</v>
      </c>
      <c r="E172" s="64">
        <f>2.5*2.5</f>
        <v>6.25</v>
      </c>
      <c r="F172" s="64">
        <v>105</v>
      </c>
      <c r="G172" s="64">
        <f t="shared" si="4"/>
        <v>656.25</v>
      </c>
      <c r="H172" s="81" t="s">
        <v>46</v>
      </c>
      <c r="I172" s="111"/>
      <c r="O172" s="62"/>
    </row>
    <row r="173" s="73" customFormat="1" ht="98" customHeight="1" spans="1:15">
      <c r="A173" s="102"/>
      <c r="B173" s="106" t="s">
        <v>322</v>
      </c>
      <c r="C173" s="102" t="s">
        <v>323</v>
      </c>
      <c r="D173" s="107" t="s">
        <v>39</v>
      </c>
      <c r="E173" s="64">
        <f>3.54*3.54</f>
        <v>12.5316</v>
      </c>
      <c r="F173" s="64">
        <v>234</v>
      </c>
      <c r="G173" s="64">
        <f t="shared" si="4"/>
        <v>2932.3944</v>
      </c>
      <c r="H173" s="81" t="s">
        <v>46</v>
      </c>
      <c r="I173" s="111"/>
      <c r="O173" s="62"/>
    </row>
    <row r="174" s="73" customFormat="1" ht="46" customHeight="1" spans="1:15">
      <c r="A174" s="102"/>
      <c r="B174" s="106" t="s">
        <v>324</v>
      </c>
      <c r="C174" s="66" t="s">
        <v>325</v>
      </c>
      <c r="D174" s="107" t="s">
        <v>39</v>
      </c>
      <c r="E174" s="64">
        <f>3.54*3.54+3.54*4*1.48</f>
        <v>33.4884</v>
      </c>
      <c r="F174" s="64">
        <v>0</v>
      </c>
      <c r="G174" s="64">
        <f t="shared" si="4"/>
        <v>0</v>
      </c>
      <c r="H174" s="81" t="s">
        <v>211</v>
      </c>
      <c r="I174" s="69"/>
      <c r="O174" s="62"/>
    </row>
    <row r="175" s="73" customFormat="1" ht="93" customHeight="1" spans="1:15">
      <c r="A175" s="102"/>
      <c r="B175" s="106" t="s">
        <v>326</v>
      </c>
      <c r="C175" s="66" t="s">
        <v>327</v>
      </c>
      <c r="D175" s="67" t="s">
        <v>160</v>
      </c>
      <c r="E175" s="68">
        <f>(27.13*0.58*4+78.5*0.3*0.3*4+0.25*4*4*18*18+22.42*3.34*4+17.71*3.54*5*2+10.99*(4.18*16+0.28*18+0.08*38))/1000</f>
        <v>3.1374772</v>
      </c>
      <c r="F175" s="64">
        <v>0</v>
      </c>
      <c r="G175" s="64">
        <f t="shared" si="4"/>
        <v>0</v>
      </c>
      <c r="H175" s="81" t="s">
        <v>211</v>
      </c>
      <c r="I175" s="69"/>
      <c r="O175" s="62"/>
    </row>
    <row r="176" s="73" customFormat="1" ht="62" customHeight="1" spans="1:15">
      <c r="A176" s="102"/>
      <c r="B176" s="106" t="s">
        <v>328</v>
      </c>
      <c r="C176" s="66" t="s">
        <v>329</v>
      </c>
      <c r="D176" s="107" t="s">
        <v>39</v>
      </c>
      <c r="E176" s="64">
        <f>3.08*4*0.2</f>
        <v>2.464</v>
      </c>
      <c r="F176" s="64">
        <v>0</v>
      </c>
      <c r="G176" s="64">
        <f t="shared" si="4"/>
        <v>0</v>
      </c>
      <c r="H176" s="81" t="s">
        <v>211</v>
      </c>
      <c r="I176" s="69"/>
      <c r="O176" s="62"/>
    </row>
    <row r="177" s="73" customFormat="1" ht="54" customHeight="1" spans="1:15">
      <c r="A177" s="102"/>
      <c r="B177" s="106" t="s">
        <v>330</v>
      </c>
      <c r="C177" s="66" t="s">
        <v>331</v>
      </c>
      <c r="D177" s="107" t="s">
        <v>39</v>
      </c>
      <c r="E177" s="64">
        <f>13*3.42-1.5*1.7-1.1*2.4</f>
        <v>39.27</v>
      </c>
      <c r="F177" s="64">
        <v>250</v>
      </c>
      <c r="G177" s="64">
        <f t="shared" si="4"/>
        <v>9817.5</v>
      </c>
      <c r="H177" s="81" t="s">
        <v>51</v>
      </c>
      <c r="I177" s="111" t="s">
        <v>332</v>
      </c>
      <c r="O177" s="62"/>
    </row>
    <row r="178" s="73" customFormat="1" ht="45" customHeight="1" spans="1:15">
      <c r="A178" s="102"/>
      <c r="B178" s="106" t="s">
        <v>333</v>
      </c>
      <c r="C178" s="66"/>
      <c r="D178" s="107" t="s">
        <v>200</v>
      </c>
      <c r="E178" s="64">
        <v>2</v>
      </c>
      <c r="F178" s="64">
        <v>50</v>
      </c>
      <c r="G178" s="64">
        <f t="shared" si="4"/>
        <v>100</v>
      </c>
      <c r="H178" s="81" t="s">
        <v>176</v>
      </c>
      <c r="I178" s="111"/>
      <c r="N178" s="74"/>
      <c r="O178" s="62"/>
    </row>
    <row r="179" s="74" customFormat="1" ht="96" customHeight="1" spans="1:15">
      <c r="A179" s="102"/>
      <c r="B179" s="106" t="s">
        <v>334</v>
      </c>
      <c r="C179" s="66" t="s">
        <v>335</v>
      </c>
      <c r="D179" s="107" t="s">
        <v>39</v>
      </c>
      <c r="E179" s="64">
        <v>0.5</v>
      </c>
      <c r="F179" s="64">
        <v>93</v>
      </c>
      <c r="G179" s="64">
        <f t="shared" si="4"/>
        <v>46.5</v>
      </c>
      <c r="H179" s="81" t="s">
        <v>51</v>
      </c>
      <c r="I179" s="111"/>
      <c r="N179" s="62"/>
      <c r="O179" s="62"/>
    </row>
    <row r="180" ht="36" customHeight="1" spans="1:9">
      <c r="A180" s="66">
        <v>14</v>
      </c>
      <c r="B180" s="108" t="s">
        <v>336</v>
      </c>
      <c r="C180" s="93" t="s">
        <v>337</v>
      </c>
      <c r="D180" s="67"/>
      <c r="E180" s="64"/>
      <c r="F180" s="64"/>
      <c r="G180" s="64"/>
      <c r="H180" s="81"/>
      <c r="I180" s="69"/>
    </row>
    <row r="181" ht="24" customHeight="1" spans="1:9">
      <c r="A181" s="66"/>
      <c r="B181" s="109" t="s">
        <v>301</v>
      </c>
      <c r="C181" s="104" t="s">
        <v>338</v>
      </c>
      <c r="D181" s="64" t="s">
        <v>45</v>
      </c>
      <c r="E181" s="64">
        <f>(1.6*1.6*4+1.9*1.9*8)*0.1</f>
        <v>3.912</v>
      </c>
      <c r="F181" s="64">
        <v>370</v>
      </c>
      <c r="G181" s="64">
        <f t="shared" si="4"/>
        <v>1447.44</v>
      </c>
      <c r="H181" s="81" t="s">
        <v>46</v>
      </c>
      <c r="I181" s="69"/>
    </row>
    <row r="182" ht="21" customHeight="1" spans="1:9">
      <c r="A182" s="66"/>
      <c r="B182" s="109" t="s">
        <v>302</v>
      </c>
      <c r="C182" s="104" t="s">
        <v>303</v>
      </c>
      <c r="D182" s="64" t="s">
        <v>45</v>
      </c>
      <c r="E182" s="64">
        <f>(1.5*1.5*0.5+(1.5*1.5+0.74*0.74+1.673)*0.1/3)*4+(1.8*1.8*0.4+(1.8*1.8+0.74*0.74+1.946)*0.2/3)*8</f>
        <v>18.522</v>
      </c>
      <c r="F182" s="64">
        <v>530</v>
      </c>
      <c r="G182" s="64">
        <f t="shared" si="4"/>
        <v>9816.66</v>
      </c>
      <c r="H182" s="81" t="s">
        <v>46</v>
      </c>
      <c r="I182" s="69"/>
    </row>
    <row r="183" ht="23" customHeight="1" spans="1:9">
      <c r="A183" s="66"/>
      <c r="B183" s="109" t="s">
        <v>283</v>
      </c>
      <c r="C183" s="104" t="s">
        <v>339</v>
      </c>
      <c r="D183" s="67" t="s">
        <v>160</v>
      </c>
      <c r="E183" s="64">
        <f>(1.5*8*2*4+1.8*10*2*8)*16*16*0.00617/1000</f>
        <v>0.60653568</v>
      </c>
      <c r="F183" s="64">
        <v>4900</v>
      </c>
      <c r="G183" s="64">
        <f t="shared" si="4"/>
        <v>2972.024832</v>
      </c>
      <c r="H183" s="81" t="s">
        <v>46</v>
      </c>
      <c r="I183" s="69"/>
    </row>
    <row r="184" ht="46" customHeight="1" spans="1:9">
      <c r="A184" s="66"/>
      <c r="B184" s="109" t="s">
        <v>340</v>
      </c>
      <c r="C184" s="104" t="s">
        <v>341</v>
      </c>
      <c r="D184" s="67" t="s">
        <v>160</v>
      </c>
      <c r="E184" s="64">
        <f>(146.2*8.5*12+56.7*(5.4*9+30.06*2)+37.3*5.4*6)/1000</f>
        <v>22.285344</v>
      </c>
      <c r="F184" s="64">
        <v>0</v>
      </c>
      <c r="G184" s="64">
        <f t="shared" si="4"/>
        <v>0</v>
      </c>
      <c r="H184" s="81" t="s">
        <v>211</v>
      </c>
      <c r="I184" s="69"/>
    </row>
    <row r="185" ht="35" customHeight="1" spans="1:9">
      <c r="A185" s="66"/>
      <c r="B185" s="109" t="s">
        <v>342</v>
      </c>
      <c r="C185" s="104" t="s">
        <v>303</v>
      </c>
      <c r="D185" s="64" t="s">
        <v>45</v>
      </c>
      <c r="E185" s="64">
        <f>30.06*7.6*0.15+(30.06+7.6)*2*0.75*0.1</f>
        <v>39.9174</v>
      </c>
      <c r="F185" s="64">
        <v>610</v>
      </c>
      <c r="G185" s="64">
        <f t="shared" si="4"/>
        <v>24349.614</v>
      </c>
      <c r="H185" s="81" t="s">
        <v>46</v>
      </c>
      <c r="I185" s="69"/>
    </row>
    <row r="186" ht="23" customHeight="1" spans="1:9">
      <c r="A186" s="66"/>
      <c r="B186" s="109" t="s">
        <v>283</v>
      </c>
      <c r="C186" s="104" t="s">
        <v>343</v>
      </c>
      <c r="D186" s="67" t="s">
        <v>160</v>
      </c>
      <c r="E186" s="64">
        <f>24*(30.06*7.6+(30.06+7.6)*2*0.75)*8*8*0.00617/1000</f>
        <v>2.70046743552</v>
      </c>
      <c r="F186" s="64">
        <v>4900</v>
      </c>
      <c r="G186" s="64">
        <f t="shared" si="4"/>
        <v>13232.290434048</v>
      </c>
      <c r="H186" s="81" t="s">
        <v>46</v>
      </c>
      <c r="I186" s="69"/>
    </row>
    <row r="187" ht="33" customHeight="1" spans="1:9">
      <c r="A187" s="66"/>
      <c r="B187" s="109" t="s">
        <v>344</v>
      </c>
      <c r="C187" s="104" t="s">
        <v>345</v>
      </c>
      <c r="D187" s="68" t="s">
        <v>35</v>
      </c>
      <c r="E187" s="64">
        <f>(20*2+21.4*2)</f>
        <v>82.8</v>
      </c>
      <c r="F187" s="64">
        <v>2350</v>
      </c>
      <c r="G187" s="64">
        <f t="shared" si="4"/>
        <v>194580</v>
      </c>
      <c r="H187" s="81" t="s">
        <v>46</v>
      </c>
      <c r="I187" s="69"/>
    </row>
    <row r="188" ht="28.05" customHeight="1" spans="1:9">
      <c r="A188" s="66"/>
      <c r="B188" s="109" t="s">
        <v>318</v>
      </c>
      <c r="C188" s="104" t="s">
        <v>346</v>
      </c>
      <c r="D188" s="68" t="s">
        <v>39</v>
      </c>
      <c r="E188" s="64">
        <f>(20*2+21.4*2)*8.5</f>
        <v>703.8</v>
      </c>
      <c r="F188" s="64">
        <v>240</v>
      </c>
      <c r="G188" s="64">
        <f t="shared" si="4"/>
        <v>168912</v>
      </c>
      <c r="H188" s="81" t="s">
        <v>46</v>
      </c>
      <c r="I188" s="69"/>
    </row>
    <row r="189" ht="24" customHeight="1" spans="1:9">
      <c r="A189" s="66"/>
      <c r="B189" s="109" t="s">
        <v>347</v>
      </c>
      <c r="C189" s="104"/>
      <c r="D189" s="68" t="s">
        <v>35</v>
      </c>
      <c r="E189" s="64">
        <f>(20*2+21.4*2)</f>
        <v>82.8</v>
      </c>
      <c r="F189" s="64">
        <v>160</v>
      </c>
      <c r="G189" s="64">
        <f t="shared" si="4"/>
        <v>13248</v>
      </c>
      <c r="H189" s="81" t="s">
        <v>46</v>
      </c>
      <c r="I189" s="69"/>
    </row>
    <row r="190" ht="24" customHeight="1" spans="1:9">
      <c r="A190" s="66"/>
      <c r="B190" s="109" t="s">
        <v>348</v>
      </c>
      <c r="C190" s="104"/>
      <c r="D190" s="68" t="s">
        <v>39</v>
      </c>
      <c r="E190" s="64">
        <f>(30.06)*2*(5.1+1.65)</f>
        <v>405.81</v>
      </c>
      <c r="F190" s="64">
        <v>250</v>
      </c>
      <c r="G190" s="64">
        <f t="shared" si="4"/>
        <v>101452.5</v>
      </c>
      <c r="H190" s="81" t="s">
        <v>51</v>
      </c>
      <c r="I190" s="69"/>
    </row>
    <row r="191" ht="24" customHeight="1" spans="1:9">
      <c r="A191" s="66"/>
      <c r="B191" s="109" t="s">
        <v>349</v>
      </c>
      <c r="C191" s="104"/>
      <c r="D191" s="68" t="s">
        <v>39</v>
      </c>
      <c r="E191" s="64">
        <f>(12.6*6.9-4.2*4.55)*2+5.4*6.9*4</f>
        <v>284.7</v>
      </c>
      <c r="F191" s="64">
        <v>650</v>
      </c>
      <c r="G191" s="64">
        <f t="shared" si="4"/>
        <v>185055</v>
      </c>
      <c r="H191" s="81" t="s">
        <v>46</v>
      </c>
      <c r="I191" s="69"/>
    </row>
    <row r="192" ht="24" customHeight="1" spans="1:9">
      <c r="A192" s="66"/>
      <c r="B192" s="109" t="s">
        <v>350</v>
      </c>
      <c r="C192" s="104"/>
      <c r="D192" s="68" t="s">
        <v>39</v>
      </c>
      <c r="E192" s="64">
        <f>8.65*7.8*2</f>
        <v>134.94</v>
      </c>
      <c r="F192" s="64">
        <v>0</v>
      </c>
      <c r="G192" s="64">
        <f t="shared" si="4"/>
        <v>0</v>
      </c>
      <c r="H192" s="81" t="s">
        <v>211</v>
      </c>
      <c r="I192" s="69"/>
    </row>
    <row r="193" ht="37" customHeight="1" spans="1:9">
      <c r="A193" s="66"/>
      <c r="B193" s="109" t="s">
        <v>322</v>
      </c>
      <c r="C193" s="104" t="s">
        <v>351</v>
      </c>
      <c r="D193" s="68" t="s">
        <v>39</v>
      </c>
      <c r="E193" s="64">
        <f>30.06*7.6</f>
        <v>228.456</v>
      </c>
      <c r="F193" s="64">
        <v>0</v>
      </c>
      <c r="G193" s="64">
        <f t="shared" si="4"/>
        <v>0</v>
      </c>
      <c r="H193" s="81" t="s">
        <v>211</v>
      </c>
      <c r="I193" s="69"/>
    </row>
    <row r="194" ht="30" customHeight="1" spans="1:9">
      <c r="A194" s="66"/>
      <c r="B194" s="109" t="s">
        <v>314</v>
      </c>
      <c r="C194" s="104"/>
      <c r="D194" s="68" t="s">
        <v>39</v>
      </c>
      <c r="E194" s="64">
        <f>1.5*3.7*2+0.9*2.4*4</f>
        <v>19.74</v>
      </c>
      <c r="F194" s="64">
        <v>650</v>
      </c>
      <c r="G194" s="64">
        <f t="shared" si="4"/>
        <v>12831</v>
      </c>
      <c r="H194" s="81" t="s">
        <v>46</v>
      </c>
      <c r="I194" s="69"/>
    </row>
    <row r="195" ht="24" customHeight="1" spans="1:9">
      <c r="A195" s="66"/>
      <c r="B195" s="109" t="s">
        <v>352</v>
      </c>
      <c r="C195" s="104"/>
      <c r="D195" s="68" t="s">
        <v>39</v>
      </c>
      <c r="E195" s="64">
        <f>17.55*2+27.9*2</f>
        <v>90.9</v>
      </c>
      <c r="F195" s="64">
        <v>200</v>
      </c>
      <c r="G195" s="64">
        <f t="shared" si="4"/>
        <v>18180</v>
      </c>
      <c r="H195" s="81" t="s">
        <v>46</v>
      </c>
      <c r="I195" s="69"/>
    </row>
    <row r="196" ht="24" customHeight="1" spans="1:9">
      <c r="A196" s="66">
        <v>15</v>
      </c>
      <c r="B196" s="112" t="s">
        <v>353</v>
      </c>
      <c r="C196" s="66"/>
      <c r="D196" s="68"/>
      <c r="E196" s="64"/>
      <c r="F196" s="64"/>
      <c r="G196" s="64"/>
      <c r="H196" s="81"/>
      <c r="I196" s="69"/>
    </row>
    <row r="197" ht="31" customHeight="1" spans="1:9">
      <c r="A197" s="66"/>
      <c r="B197" s="113" t="s">
        <v>354</v>
      </c>
      <c r="C197" s="66" t="s">
        <v>355</v>
      </c>
      <c r="D197" s="68" t="s">
        <v>45</v>
      </c>
      <c r="E197" s="64">
        <f>9.6*0.6*0.3</f>
        <v>1.728</v>
      </c>
      <c r="F197" s="64">
        <v>535</v>
      </c>
      <c r="G197" s="64">
        <f t="shared" ref="G197:G260" si="5">E197*F197</f>
        <v>924.48</v>
      </c>
      <c r="H197" s="81" t="s">
        <v>46</v>
      </c>
      <c r="I197" s="69"/>
    </row>
    <row r="198" ht="31" customHeight="1" spans="1:9">
      <c r="A198" s="66"/>
      <c r="B198" s="114"/>
      <c r="C198" s="66" t="s">
        <v>356</v>
      </c>
      <c r="D198" s="68" t="s">
        <v>45</v>
      </c>
      <c r="E198" s="64">
        <f>9.6*0.2*0.8</f>
        <v>1.536</v>
      </c>
      <c r="F198" s="64">
        <v>635</v>
      </c>
      <c r="G198" s="64">
        <f t="shared" si="5"/>
        <v>975.36</v>
      </c>
      <c r="H198" s="81" t="s">
        <v>46</v>
      </c>
      <c r="I198" s="69"/>
    </row>
    <row r="199" ht="24" customHeight="1" spans="1:9">
      <c r="A199" s="66"/>
      <c r="B199" s="114"/>
      <c r="C199" s="66" t="s">
        <v>357</v>
      </c>
      <c r="D199" s="68" t="s">
        <v>45</v>
      </c>
      <c r="E199" s="64">
        <f>9.6*0.12*0.91</f>
        <v>1.04832</v>
      </c>
      <c r="F199" s="64">
        <v>615</v>
      </c>
      <c r="G199" s="64">
        <f t="shared" si="5"/>
        <v>644.7168</v>
      </c>
      <c r="H199" s="81" t="s">
        <v>46</v>
      </c>
      <c r="I199" s="69"/>
    </row>
    <row r="200" ht="26" customHeight="1" spans="1:9">
      <c r="A200" s="66"/>
      <c r="B200" s="114"/>
      <c r="C200" s="66" t="s">
        <v>283</v>
      </c>
      <c r="D200" s="67" t="s">
        <v>160</v>
      </c>
      <c r="E200" s="64">
        <f>0.7*50*0.617/1000+5.7*3*0.395/1000+0.8*9.6*1/0.2*2*2*0.395/1000+0.91*5.6*1/0.2*2*0.395/1000</f>
        <v>0.1091507</v>
      </c>
      <c r="F200" s="64">
        <v>4900</v>
      </c>
      <c r="G200" s="64">
        <f t="shared" si="5"/>
        <v>534.83843</v>
      </c>
      <c r="H200" s="81" t="s">
        <v>46</v>
      </c>
      <c r="I200" s="69"/>
    </row>
    <row r="201" ht="31" customHeight="1" spans="1:9">
      <c r="A201" s="66"/>
      <c r="B201" s="113" t="s">
        <v>302</v>
      </c>
      <c r="C201" s="66" t="s">
        <v>358</v>
      </c>
      <c r="D201" s="68" t="s">
        <v>45</v>
      </c>
      <c r="E201" s="64">
        <f>1*1*0.3*8</f>
        <v>2.4</v>
      </c>
      <c r="F201" s="64">
        <v>520</v>
      </c>
      <c r="G201" s="64">
        <f t="shared" si="5"/>
        <v>1248</v>
      </c>
      <c r="H201" s="81" t="s">
        <v>46</v>
      </c>
      <c r="I201" s="69"/>
    </row>
    <row r="202" ht="33" customHeight="1" spans="1:9">
      <c r="A202" s="66"/>
      <c r="B202" s="113" t="s">
        <v>304</v>
      </c>
      <c r="C202" s="66" t="s">
        <v>358</v>
      </c>
      <c r="D202" s="68" t="s">
        <v>45</v>
      </c>
      <c r="E202" s="64">
        <f>0.32*0.32*2.05*8</f>
        <v>1.67936</v>
      </c>
      <c r="F202" s="64">
        <v>600</v>
      </c>
      <c r="G202" s="64">
        <f t="shared" si="5"/>
        <v>1007.616</v>
      </c>
      <c r="H202" s="81" t="s">
        <v>46</v>
      </c>
      <c r="I202" s="69"/>
    </row>
    <row r="203" ht="54" customHeight="1" spans="1:9">
      <c r="A203" s="66"/>
      <c r="B203" s="113" t="s">
        <v>283</v>
      </c>
      <c r="C203" s="66" t="s">
        <v>359</v>
      </c>
      <c r="D203" s="67" t="s">
        <v>160</v>
      </c>
      <c r="E203" s="68">
        <f>(1.9*4*14*14+1*7*2*12*12+0.32*4*9*8*8)*0.00617/1000*8</f>
        <v>0.2094285568</v>
      </c>
      <c r="F203" s="64">
        <v>4900</v>
      </c>
      <c r="G203" s="64">
        <f t="shared" si="5"/>
        <v>1026.19992832</v>
      </c>
      <c r="H203" s="81" t="s">
        <v>46</v>
      </c>
      <c r="I203" s="69"/>
    </row>
    <row r="204" ht="58" customHeight="1" spans="1:9">
      <c r="A204" s="66"/>
      <c r="B204" s="113" t="s">
        <v>340</v>
      </c>
      <c r="C204" s="66" t="s">
        <v>360</v>
      </c>
      <c r="D204" s="67" t="s">
        <v>160</v>
      </c>
      <c r="E204" s="68">
        <f>2.6*8*53.411/1000+26.69*(10.16*4+5.36*2+4.16*4+5.76*4)/1000+78.5*0.3*0.3*8/1000+4*0.25*8*8*0.00617/1000*8</f>
        <v>3.60048544</v>
      </c>
      <c r="F204" s="64">
        <v>0</v>
      </c>
      <c r="G204" s="64">
        <f t="shared" si="5"/>
        <v>0</v>
      </c>
      <c r="H204" s="81" t="s">
        <v>211</v>
      </c>
      <c r="I204" s="69"/>
    </row>
    <row r="205" ht="57" customHeight="1" spans="1:9">
      <c r="A205" s="66"/>
      <c r="B205" s="113" t="s">
        <v>322</v>
      </c>
      <c r="C205" s="66" t="s">
        <v>361</v>
      </c>
      <c r="D205" s="68" t="s">
        <v>39</v>
      </c>
      <c r="E205" s="68">
        <f>71*2+36.65*0.4+38*2+26.66*0.8</f>
        <v>253.988</v>
      </c>
      <c r="F205" s="64">
        <v>0</v>
      </c>
      <c r="G205" s="64">
        <f t="shared" si="5"/>
        <v>0</v>
      </c>
      <c r="H205" s="81" t="s">
        <v>211</v>
      </c>
      <c r="I205" s="69" t="s">
        <v>362</v>
      </c>
    </row>
    <row r="206" ht="30" customHeight="1" spans="1:9">
      <c r="A206" s="66"/>
      <c r="B206" s="113" t="s">
        <v>363</v>
      </c>
      <c r="C206" s="66" t="s">
        <v>364</v>
      </c>
      <c r="D206" s="68" t="s">
        <v>39</v>
      </c>
      <c r="E206" s="64">
        <f>1.36*2.6*8</f>
        <v>28.288</v>
      </c>
      <c r="F206" s="64">
        <v>0</v>
      </c>
      <c r="G206" s="64">
        <f t="shared" si="5"/>
        <v>0</v>
      </c>
      <c r="H206" s="81" t="s">
        <v>211</v>
      </c>
      <c r="I206" s="69"/>
    </row>
    <row r="207" ht="52" customHeight="1" spans="1:9">
      <c r="A207" s="66"/>
      <c r="B207" s="113"/>
      <c r="C207" s="66" t="s">
        <v>365</v>
      </c>
      <c r="D207" s="68" t="s">
        <v>39</v>
      </c>
      <c r="E207" s="64">
        <f>(7+2.8)*2*0.2</f>
        <v>3.92</v>
      </c>
      <c r="F207" s="64">
        <v>0</v>
      </c>
      <c r="G207" s="64">
        <f t="shared" si="5"/>
        <v>0</v>
      </c>
      <c r="H207" s="81" t="s">
        <v>211</v>
      </c>
      <c r="I207" s="110" t="s">
        <v>366</v>
      </c>
    </row>
    <row r="208" ht="40" customHeight="1" spans="1:9">
      <c r="A208" s="66"/>
      <c r="B208" s="115" t="s">
        <v>367</v>
      </c>
      <c r="C208" s="66" t="s">
        <v>368</v>
      </c>
      <c r="D208" s="68" t="s">
        <v>39</v>
      </c>
      <c r="E208" s="64">
        <f>(0.4*0.4-0.25*0.25)*8</f>
        <v>0.78</v>
      </c>
      <c r="F208" s="64">
        <v>67</v>
      </c>
      <c r="G208" s="64">
        <f t="shared" si="5"/>
        <v>52.26</v>
      </c>
      <c r="H208" s="81" t="s">
        <v>51</v>
      </c>
      <c r="I208" s="110"/>
    </row>
    <row r="209" ht="41" customHeight="1" spans="1:9">
      <c r="A209" s="66"/>
      <c r="B209" s="113" t="s">
        <v>369</v>
      </c>
      <c r="C209" s="66" t="s">
        <v>370</v>
      </c>
      <c r="D209" s="68" t="s">
        <v>39</v>
      </c>
      <c r="E209" s="64">
        <f>(0.52*0.4*4)*8</f>
        <v>6.656</v>
      </c>
      <c r="F209" s="64">
        <v>72</v>
      </c>
      <c r="G209" s="64">
        <f t="shared" si="5"/>
        <v>479.232</v>
      </c>
      <c r="H209" s="81" t="s">
        <v>51</v>
      </c>
      <c r="I209" s="69"/>
    </row>
    <row r="210" ht="55" customHeight="1" spans="1:9">
      <c r="A210" s="66"/>
      <c r="B210" s="113" t="s">
        <v>371</v>
      </c>
      <c r="C210" s="66" t="s">
        <v>372</v>
      </c>
      <c r="D210" s="68" t="s">
        <v>39</v>
      </c>
      <c r="E210" s="64">
        <f>3.12*3.1</f>
        <v>9.672</v>
      </c>
      <c r="F210" s="64">
        <v>0</v>
      </c>
      <c r="G210" s="64">
        <f t="shared" si="5"/>
        <v>0</v>
      </c>
      <c r="H210" s="81" t="s">
        <v>211</v>
      </c>
      <c r="I210" s="69"/>
    </row>
    <row r="211" ht="53" customHeight="1" spans="1:9">
      <c r="A211" s="66"/>
      <c r="B211" s="113" t="s">
        <v>373</v>
      </c>
      <c r="C211" s="66" t="s">
        <v>374</v>
      </c>
      <c r="D211" s="68" t="s">
        <v>56</v>
      </c>
      <c r="E211" s="64">
        <v>1</v>
      </c>
      <c r="F211" s="64">
        <v>0</v>
      </c>
      <c r="G211" s="64">
        <f t="shared" si="5"/>
        <v>0</v>
      </c>
      <c r="H211" s="81" t="s">
        <v>211</v>
      </c>
      <c r="I211" s="69"/>
    </row>
    <row r="212" ht="75" customHeight="1" spans="1:9">
      <c r="A212" s="66"/>
      <c r="B212" s="113" t="s">
        <v>244</v>
      </c>
      <c r="C212" s="66" t="s">
        <v>375</v>
      </c>
      <c r="D212" s="68" t="s">
        <v>35</v>
      </c>
      <c r="E212" s="64">
        <f>2.3*2+9.6</f>
        <v>14.2</v>
      </c>
      <c r="F212" s="64">
        <v>170</v>
      </c>
      <c r="G212" s="64">
        <f t="shared" si="5"/>
        <v>2414</v>
      </c>
      <c r="H212" s="81" t="s">
        <v>51</v>
      </c>
      <c r="I212" s="69"/>
    </row>
    <row r="213" ht="30" customHeight="1" spans="1:9">
      <c r="A213" s="66"/>
      <c r="B213" s="77" t="s">
        <v>333</v>
      </c>
      <c r="C213" s="66"/>
      <c r="D213" s="68" t="s">
        <v>200</v>
      </c>
      <c r="E213" s="64">
        <v>4</v>
      </c>
      <c r="F213" s="64">
        <v>50</v>
      </c>
      <c r="G213" s="64">
        <f t="shared" si="5"/>
        <v>200</v>
      </c>
      <c r="H213" s="81" t="s">
        <v>176</v>
      </c>
      <c r="I213" s="69"/>
    </row>
    <row r="214" ht="35" customHeight="1" spans="1:9">
      <c r="A214" s="66">
        <v>16</v>
      </c>
      <c r="B214" s="112" t="s">
        <v>376</v>
      </c>
      <c r="C214" s="66"/>
      <c r="D214" s="68"/>
      <c r="E214" s="64"/>
      <c r="F214" s="64"/>
      <c r="G214" s="64"/>
      <c r="H214" s="81"/>
      <c r="I214" s="69"/>
    </row>
    <row r="215" ht="51" customHeight="1" spans="1:9">
      <c r="A215" s="66"/>
      <c r="B215" s="113" t="s">
        <v>377</v>
      </c>
      <c r="C215" s="66" t="s">
        <v>378</v>
      </c>
      <c r="D215" s="68" t="s">
        <v>39</v>
      </c>
      <c r="E215" s="64">
        <f>1.2*8.95*2</f>
        <v>21.48</v>
      </c>
      <c r="F215" s="64">
        <v>250</v>
      </c>
      <c r="G215" s="64">
        <f t="shared" si="5"/>
        <v>5370</v>
      </c>
      <c r="H215" s="81" t="s">
        <v>51</v>
      </c>
      <c r="I215" s="69"/>
    </row>
    <row r="216" ht="68" customHeight="1" spans="1:9">
      <c r="A216" s="66"/>
      <c r="B216" s="113" t="s">
        <v>377</v>
      </c>
      <c r="C216" s="66" t="s">
        <v>379</v>
      </c>
      <c r="D216" s="68" t="s">
        <v>39</v>
      </c>
      <c r="E216" s="64">
        <f>(0.97+0.35)*8.95*2*2</f>
        <v>47.256</v>
      </c>
      <c r="F216" s="64">
        <v>250</v>
      </c>
      <c r="G216" s="64">
        <f t="shared" si="5"/>
        <v>11814</v>
      </c>
      <c r="H216" s="81" t="s">
        <v>51</v>
      </c>
      <c r="I216" s="69"/>
    </row>
    <row r="217" ht="68" customHeight="1" spans="1:9">
      <c r="A217" s="66"/>
      <c r="B217" s="113" t="s">
        <v>377</v>
      </c>
      <c r="C217" s="66" t="s">
        <v>380</v>
      </c>
      <c r="D217" s="68" t="s">
        <v>39</v>
      </c>
      <c r="E217" s="64">
        <f>0.9*8.95*2</f>
        <v>16.11</v>
      </c>
      <c r="F217" s="64">
        <v>250</v>
      </c>
      <c r="G217" s="64">
        <f t="shared" si="5"/>
        <v>4027.5</v>
      </c>
      <c r="H217" s="81" t="s">
        <v>51</v>
      </c>
      <c r="I217" s="69"/>
    </row>
    <row r="218" ht="48" customHeight="1" spans="1:9">
      <c r="A218" s="66"/>
      <c r="B218" s="113" t="s">
        <v>381</v>
      </c>
      <c r="C218" s="66" t="s">
        <v>382</v>
      </c>
      <c r="D218" s="68" t="s">
        <v>39</v>
      </c>
      <c r="E218" s="64">
        <f>(0.6+0.1)*8.95*2*2+1.63*2</f>
        <v>28.32</v>
      </c>
      <c r="F218" s="64">
        <v>72</v>
      </c>
      <c r="G218" s="64">
        <f t="shared" si="5"/>
        <v>2039.04</v>
      </c>
      <c r="H218" s="81" t="s">
        <v>51</v>
      </c>
      <c r="I218" s="69"/>
    </row>
    <row r="219" ht="48" customHeight="1" spans="1:9">
      <c r="A219" s="66"/>
      <c r="B219" s="113" t="s">
        <v>381</v>
      </c>
      <c r="C219" s="66" t="s">
        <v>383</v>
      </c>
      <c r="D219" s="68" t="s">
        <v>39</v>
      </c>
      <c r="E219" s="64">
        <f>0.9*8.95*2</f>
        <v>16.11</v>
      </c>
      <c r="F219" s="64">
        <v>72</v>
      </c>
      <c r="G219" s="64">
        <f t="shared" si="5"/>
        <v>1159.92</v>
      </c>
      <c r="H219" s="81" t="s">
        <v>51</v>
      </c>
      <c r="I219" s="69"/>
    </row>
    <row r="220" ht="52" customHeight="1" spans="1:9">
      <c r="A220" s="66"/>
      <c r="B220" s="113" t="s">
        <v>377</v>
      </c>
      <c r="C220" s="66" t="s">
        <v>384</v>
      </c>
      <c r="D220" s="68" t="s">
        <v>39</v>
      </c>
      <c r="E220" s="64">
        <f>(3.3*11.4-3.14*1*1)*2+3.3*0.5*2-0.6*8.3</f>
        <v>67.28</v>
      </c>
      <c r="F220" s="64">
        <v>250</v>
      </c>
      <c r="G220" s="64">
        <f t="shared" si="5"/>
        <v>16820</v>
      </c>
      <c r="H220" s="81" t="s">
        <v>51</v>
      </c>
      <c r="I220" s="69"/>
    </row>
    <row r="221" ht="48" customHeight="1" spans="1:9">
      <c r="A221" s="66"/>
      <c r="B221" s="113" t="s">
        <v>385</v>
      </c>
      <c r="C221" s="66" t="s">
        <v>386</v>
      </c>
      <c r="D221" s="67" t="s">
        <v>160</v>
      </c>
      <c r="E221" s="68">
        <f>(20.268*(2.62*6+10.3*2)+7.327*(3.14*1.12*1.12*2+0.5*13))/1000</f>
        <v>0.841478669664</v>
      </c>
      <c r="F221" s="64">
        <v>9000</v>
      </c>
      <c r="G221" s="64">
        <f t="shared" si="5"/>
        <v>7573.308026976</v>
      </c>
      <c r="H221" s="81" t="s">
        <v>46</v>
      </c>
      <c r="I221" s="69"/>
    </row>
    <row r="222" ht="48" customHeight="1" spans="1:9">
      <c r="A222" s="66"/>
      <c r="B222" s="113" t="s">
        <v>387</v>
      </c>
      <c r="C222" s="66" t="s">
        <v>388</v>
      </c>
      <c r="D222" s="67" t="s">
        <v>160</v>
      </c>
      <c r="E222" s="68">
        <f>(59.66*0.85*8+78.5*0.4*0.4*8)/1000</f>
        <v>0.506168</v>
      </c>
      <c r="F222" s="64">
        <v>0</v>
      </c>
      <c r="G222" s="64">
        <f t="shared" si="5"/>
        <v>0</v>
      </c>
      <c r="H222" s="81" t="s">
        <v>211</v>
      </c>
      <c r="I222" s="69"/>
    </row>
    <row r="223" ht="48" customHeight="1" spans="1:9">
      <c r="A223" s="66"/>
      <c r="B223" s="113" t="s">
        <v>389</v>
      </c>
      <c r="C223" s="66" t="s">
        <v>390</v>
      </c>
      <c r="D223" s="68" t="s">
        <v>39</v>
      </c>
      <c r="E223" s="64">
        <f>0.2*4*0.5*8</f>
        <v>3.2</v>
      </c>
      <c r="F223" s="64">
        <v>0</v>
      </c>
      <c r="G223" s="64">
        <f t="shared" si="5"/>
        <v>0</v>
      </c>
      <c r="H223" s="81" t="s">
        <v>211</v>
      </c>
      <c r="I223" s="69"/>
    </row>
    <row r="224" ht="54" customHeight="1" spans="1:9">
      <c r="A224" s="66"/>
      <c r="B224" s="113" t="s">
        <v>391</v>
      </c>
      <c r="C224" s="66" t="s">
        <v>392</v>
      </c>
      <c r="D224" s="68" t="s">
        <v>39</v>
      </c>
      <c r="E224" s="64">
        <v>3.14</v>
      </c>
      <c r="F224" s="64">
        <v>0</v>
      </c>
      <c r="G224" s="64">
        <f t="shared" si="5"/>
        <v>0</v>
      </c>
      <c r="H224" s="81" t="s">
        <v>211</v>
      </c>
      <c r="I224" s="69"/>
    </row>
    <row r="225" ht="39" customHeight="1" spans="1:9">
      <c r="A225" s="66"/>
      <c r="B225" s="113" t="s">
        <v>393</v>
      </c>
      <c r="C225" s="66" t="s">
        <v>394</v>
      </c>
      <c r="D225" s="68" t="s">
        <v>39</v>
      </c>
      <c r="E225" s="64">
        <f>0.76*3.14*1.12*1.12</f>
        <v>2.99350016</v>
      </c>
      <c r="F225" s="64">
        <v>0</v>
      </c>
      <c r="G225" s="64">
        <f t="shared" si="5"/>
        <v>0</v>
      </c>
      <c r="H225" s="81" t="s">
        <v>211</v>
      </c>
      <c r="I225" s="69"/>
    </row>
    <row r="226" ht="60" customHeight="1" spans="1:9">
      <c r="A226" s="66"/>
      <c r="B226" s="113" t="s">
        <v>171</v>
      </c>
      <c r="C226" s="66" t="s">
        <v>395</v>
      </c>
      <c r="D226" s="68" t="s">
        <v>39</v>
      </c>
      <c r="E226" s="64">
        <f>0.5*11.4</f>
        <v>5.7</v>
      </c>
      <c r="F226" s="64">
        <v>250</v>
      </c>
      <c r="G226" s="64">
        <f t="shared" si="5"/>
        <v>1425</v>
      </c>
      <c r="H226" s="81" t="s">
        <v>51</v>
      </c>
      <c r="I226" s="69"/>
    </row>
    <row r="227" ht="63" customHeight="1" spans="1:9">
      <c r="A227" s="66"/>
      <c r="B227" s="113" t="s">
        <v>396</v>
      </c>
      <c r="C227" s="66" t="s">
        <v>397</v>
      </c>
      <c r="D227" s="68" t="s">
        <v>39</v>
      </c>
      <c r="E227" s="64">
        <f>9.36-0.6*0.6*3</f>
        <v>8.28</v>
      </c>
      <c r="F227" s="64">
        <v>60</v>
      </c>
      <c r="G227" s="64">
        <f t="shared" si="5"/>
        <v>496.8</v>
      </c>
      <c r="H227" s="81" t="s">
        <v>51</v>
      </c>
      <c r="I227" s="69"/>
    </row>
    <row r="228" ht="37" customHeight="1" spans="1:9">
      <c r="A228" s="66"/>
      <c r="B228" s="113" t="s">
        <v>398</v>
      </c>
      <c r="C228" s="66" t="s">
        <v>399</v>
      </c>
      <c r="D228" s="68" t="s">
        <v>39</v>
      </c>
      <c r="E228" s="64">
        <f>2.4*0.15*3</f>
        <v>1.08</v>
      </c>
      <c r="F228" s="64">
        <v>75</v>
      </c>
      <c r="G228" s="64">
        <f t="shared" si="5"/>
        <v>81</v>
      </c>
      <c r="H228" s="81" t="s">
        <v>51</v>
      </c>
      <c r="I228" s="69"/>
    </row>
    <row r="229" ht="57" customHeight="1" spans="1:9">
      <c r="A229" s="66"/>
      <c r="B229" s="113" t="s">
        <v>400</v>
      </c>
      <c r="C229" s="66" t="s">
        <v>401</v>
      </c>
      <c r="D229" s="68" t="s">
        <v>39</v>
      </c>
      <c r="E229" s="64">
        <f>3.1*11+9.96+16*0.44</f>
        <v>51.1</v>
      </c>
      <c r="F229" s="64">
        <v>85</v>
      </c>
      <c r="G229" s="64">
        <f t="shared" si="5"/>
        <v>4343.5</v>
      </c>
      <c r="H229" s="81" t="s">
        <v>46</v>
      </c>
      <c r="I229" s="69"/>
    </row>
    <row r="230" ht="43" customHeight="1" spans="1:9">
      <c r="A230" s="66"/>
      <c r="B230" s="113" t="s">
        <v>402</v>
      </c>
      <c r="C230" s="66" t="s">
        <v>403</v>
      </c>
      <c r="D230" s="68" t="s">
        <v>45</v>
      </c>
      <c r="E230" s="64">
        <f>2.63*11*0.12+0.6*0.6*0.17*3+16*0.44*0.12</f>
        <v>4.5</v>
      </c>
      <c r="F230" s="64">
        <v>380</v>
      </c>
      <c r="G230" s="64">
        <f t="shared" si="5"/>
        <v>1710</v>
      </c>
      <c r="H230" s="81" t="s">
        <v>46</v>
      </c>
      <c r="I230" s="69"/>
    </row>
    <row r="231" ht="43" customHeight="1" spans="1:9">
      <c r="A231" s="66"/>
      <c r="B231" s="113" t="s">
        <v>283</v>
      </c>
      <c r="C231" s="66" t="s">
        <v>404</v>
      </c>
      <c r="D231" s="67" t="s">
        <v>160</v>
      </c>
      <c r="E231" s="68">
        <f>1*(1/0.15+1)*2*2*8*8*0.00617/1000*(2.63*11+16*0.44)</f>
        <v>0.4355842304</v>
      </c>
      <c r="F231" s="64">
        <v>4900</v>
      </c>
      <c r="G231" s="64">
        <f t="shared" si="5"/>
        <v>2134.36272896</v>
      </c>
      <c r="H231" s="81" t="s">
        <v>46</v>
      </c>
      <c r="I231" s="69"/>
    </row>
    <row r="232" ht="51" customHeight="1" spans="1:9">
      <c r="A232" s="66"/>
      <c r="B232" s="113" t="s">
        <v>171</v>
      </c>
      <c r="C232" s="66" t="s">
        <v>405</v>
      </c>
      <c r="D232" s="68" t="s">
        <v>39</v>
      </c>
      <c r="E232" s="64">
        <f>0.6*0.6*3</f>
        <v>1.08</v>
      </c>
      <c r="F232" s="64">
        <v>72</v>
      </c>
      <c r="G232" s="64">
        <f t="shared" si="5"/>
        <v>77.76</v>
      </c>
      <c r="H232" s="81" t="s">
        <v>51</v>
      </c>
      <c r="I232" s="69"/>
    </row>
    <row r="233" ht="34.05" customHeight="1" spans="1:9">
      <c r="A233" s="66"/>
      <c r="B233" s="113" t="s">
        <v>406</v>
      </c>
      <c r="C233" s="66" t="s">
        <v>407</v>
      </c>
      <c r="D233" s="68" t="s">
        <v>200</v>
      </c>
      <c r="E233" s="64">
        <v>3</v>
      </c>
      <c r="F233" s="64">
        <v>500</v>
      </c>
      <c r="G233" s="64">
        <f t="shared" si="5"/>
        <v>1500</v>
      </c>
      <c r="H233" s="81" t="s">
        <v>51</v>
      </c>
      <c r="I233" s="69"/>
    </row>
    <row r="234" ht="102" customHeight="1" spans="1:9">
      <c r="A234" s="66"/>
      <c r="B234" s="113" t="s">
        <v>408</v>
      </c>
      <c r="C234" s="66" t="s">
        <v>409</v>
      </c>
      <c r="D234" s="68" t="s">
        <v>35</v>
      </c>
      <c r="E234" s="64">
        <v>11</v>
      </c>
      <c r="F234" s="64">
        <v>30</v>
      </c>
      <c r="G234" s="64">
        <f t="shared" si="5"/>
        <v>330</v>
      </c>
      <c r="H234" s="81" t="s">
        <v>51</v>
      </c>
      <c r="I234" s="69"/>
    </row>
    <row r="235" ht="115.05" customHeight="1" spans="1:9">
      <c r="A235" s="66"/>
      <c r="B235" s="113" t="s">
        <v>410</v>
      </c>
      <c r="C235" s="66" t="s">
        <v>411</v>
      </c>
      <c r="D235" s="68" t="s">
        <v>39</v>
      </c>
      <c r="E235" s="64">
        <f>0.6*12.6</f>
        <v>7.56</v>
      </c>
      <c r="F235" s="64">
        <v>72</v>
      </c>
      <c r="G235" s="64">
        <f t="shared" si="5"/>
        <v>544.32</v>
      </c>
      <c r="H235" s="81" t="s">
        <v>51</v>
      </c>
      <c r="I235" s="69"/>
    </row>
    <row r="236" ht="55" customHeight="1" spans="1:9">
      <c r="A236" s="66"/>
      <c r="B236" s="113" t="s">
        <v>156</v>
      </c>
      <c r="C236" s="66" t="s">
        <v>412</v>
      </c>
      <c r="D236" s="68" t="s">
        <v>39</v>
      </c>
      <c r="E236" s="64">
        <v>9.96</v>
      </c>
      <c r="F236" s="64">
        <v>221.5</v>
      </c>
      <c r="G236" s="64">
        <f t="shared" si="5"/>
        <v>2206.14</v>
      </c>
      <c r="H236" s="81" t="s">
        <v>46</v>
      </c>
      <c r="I236" s="69"/>
    </row>
    <row r="237" ht="40" customHeight="1" spans="1:9">
      <c r="A237" s="66"/>
      <c r="B237" s="113" t="s">
        <v>413</v>
      </c>
      <c r="C237" s="66" t="s">
        <v>413</v>
      </c>
      <c r="D237" s="68" t="s">
        <v>39</v>
      </c>
      <c r="E237" s="64">
        <f>31*0.2+9.96</f>
        <v>16.16</v>
      </c>
      <c r="F237" s="64">
        <v>15</v>
      </c>
      <c r="G237" s="64">
        <f t="shared" si="5"/>
        <v>242.4</v>
      </c>
      <c r="H237" s="81" t="s">
        <v>46</v>
      </c>
      <c r="I237" s="69"/>
    </row>
    <row r="238" ht="95" customHeight="1" spans="1:9">
      <c r="A238" s="66"/>
      <c r="B238" s="113" t="s">
        <v>414</v>
      </c>
      <c r="C238" s="66" t="s">
        <v>415</v>
      </c>
      <c r="D238" s="68" t="s">
        <v>39</v>
      </c>
      <c r="E238" s="64">
        <f>14.1*0.32</f>
        <v>4.512</v>
      </c>
      <c r="F238" s="64">
        <v>730</v>
      </c>
      <c r="G238" s="64">
        <f t="shared" si="5"/>
        <v>3293.76</v>
      </c>
      <c r="H238" s="81" t="s">
        <v>46</v>
      </c>
      <c r="I238" s="69"/>
    </row>
    <row r="239" ht="34.05" customHeight="1" spans="1:9">
      <c r="A239" s="66"/>
      <c r="B239" s="113" t="s">
        <v>416</v>
      </c>
      <c r="C239" s="66"/>
      <c r="D239" s="68" t="s">
        <v>417</v>
      </c>
      <c r="E239" s="64">
        <v>1</v>
      </c>
      <c r="F239" s="64">
        <v>2400</v>
      </c>
      <c r="G239" s="64">
        <f t="shared" si="5"/>
        <v>2400</v>
      </c>
      <c r="H239" s="81" t="s">
        <v>46</v>
      </c>
      <c r="I239" s="69" t="s">
        <v>418</v>
      </c>
    </row>
    <row r="240" ht="69" customHeight="1" spans="1:9">
      <c r="A240" s="66"/>
      <c r="B240" s="113" t="s">
        <v>419</v>
      </c>
      <c r="C240" s="66" t="s">
        <v>420</v>
      </c>
      <c r="D240" s="68" t="s">
        <v>35</v>
      </c>
      <c r="E240" s="64">
        <v>16</v>
      </c>
      <c r="F240" s="64">
        <v>48</v>
      </c>
      <c r="G240" s="64">
        <f t="shared" si="5"/>
        <v>768</v>
      </c>
      <c r="H240" s="81" t="s">
        <v>46</v>
      </c>
      <c r="I240" s="69"/>
    </row>
    <row r="241" ht="53" customHeight="1" spans="1:9">
      <c r="A241" s="66"/>
      <c r="B241" s="113" t="s">
        <v>421</v>
      </c>
      <c r="C241" s="66" t="s">
        <v>422</v>
      </c>
      <c r="D241" s="68" t="s">
        <v>39</v>
      </c>
      <c r="E241" s="64">
        <f>7.2*6.1</f>
        <v>43.92</v>
      </c>
      <c r="F241" s="64">
        <v>0</v>
      </c>
      <c r="G241" s="64">
        <f t="shared" si="5"/>
        <v>0</v>
      </c>
      <c r="H241" s="81" t="s">
        <v>211</v>
      </c>
      <c r="I241" s="69"/>
    </row>
    <row r="242" ht="110" customHeight="1" spans="1:9">
      <c r="A242" s="66"/>
      <c r="B242" s="113" t="s">
        <v>423</v>
      </c>
      <c r="C242" s="66" t="s">
        <v>424</v>
      </c>
      <c r="D242" s="67" t="s">
        <v>160</v>
      </c>
      <c r="E242" s="68">
        <f>(75.36*(13.08*2+9.84*4)+60.79*(47.04+2.54*4+1.9*6)+14.915*(49.04+2.05*4)+8.918*(13.08*2+2.54*6+9.84*2+1.9*8)+5.778*(48.24+47.04+29.8*2)+13.345*(7.6*5+6.5*2)*2+3.485*(28.2*4+0.2*4*10))/1000</f>
        <v>13.31885548</v>
      </c>
      <c r="F242" s="64">
        <v>0</v>
      </c>
      <c r="G242" s="64">
        <f t="shared" si="5"/>
        <v>0</v>
      </c>
      <c r="H242" s="81" t="s">
        <v>211</v>
      </c>
      <c r="I242" s="69"/>
    </row>
    <row r="243" ht="62" customHeight="1" spans="1:9">
      <c r="A243" s="66"/>
      <c r="B243" s="113" t="s">
        <v>425</v>
      </c>
      <c r="C243" s="66" t="s">
        <v>426</v>
      </c>
      <c r="D243" s="68" t="s">
        <v>39</v>
      </c>
      <c r="E243" s="64">
        <f>(13.88*10.64-7.2*6.1)*2+0.65*(13.88+10.64)*2+0.36*(7.2+6.1)*2</f>
        <v>248.9784</v>
      </c>
      <c r="F243" s="64">
        <v>0</v>
      </c>
      <c r="G243" s="64">
        <f t="shared" si="5"/>
        <v>0</v>
      </c>
      <c r="H243" s="81" t="s">
        <v>211</v>
      </c>
      <c r="I243" s="69"/>
    </row>
    <row r="244" ht="40" customHeight="1" spans="1:9">
      <c r="A244" s="66"/>
      <c r="B244" s="113" t="s">
        <v>427</v>
      </c>
      <c r="C244" s="66" t="s">
        <v>428</v>
      </c>
      <c r="D244" s="68" t="s">
        <v>39</v>
      </c>
      <c r="E244" s="64">
        <f>7.2*6.1</f>
        <v>43.92</v>
      </c>
      <c r="F244" s="64">
        <v>0</v>
      </c>
      <c r="G244" s="64">
        <f t="shared" si="5"/>
        <v>0</v>
      </c>
      <c r="H244" s="81" t="s">
        <v>211</v>
      </c>
      <c r="I244" s="69"/>
    </row>
    <row r="245" ht="53" customHeight="1" spans="1:9">
      <c r="A245" s="66"/>
      <c r="B245" s="113" t="s">
        <v>429</v>
      </c>
      <c r="C245" s="66" t="s">
        <v>430</v>
      </c>
      <c r="D245" s="68" t="s">
        <v>35</v>
      </c>
      <c r="E245" s="64">
        <v>10.36</v>
      </c>
      <c r="F245" s="64">
        <v>0</v>
      </c>
      <c r="G245" s="64">
        <f t="shared" si="5"/>
        <v>0</v>
      </c>
      <c r="H245" s="81" t="s">
        <v>211</v>
      </c>
      <c r="I245" s="69" t="s">
        <v>431</v>
      </c>
    </row>
    <row r="246" ht="101" customHeight="1" spans="1:9">
      <c r="A246" s="66"/>
      <c r="B246" s="113" t="s">
        <v>432</v>
      </c>
      <c r="C246" s="66" t="s">
        <v>433</v>
      </c>
      <c r="D246" s="68" t="s">
        <v>39</v>
      </c>
      <c r="E246" s="64">
        <f>11.88*1.19</f>
        <v>14.1372</v>
      </c>
      <c r="F246" s="64">
        <v>250</v>
      </c>
      <c r="G246" s="64">
        <f t="shared" si="5"/>
        <v>3534.3</v>
      </c>
      <c r="H246" s="81" t="s">
        <v>51</v>
      </c>
      <c r="I246" s="69"/>
    </row>
    <row r="247" ht="58" customHeight="1" spans="1:9">
      <c r="A247" s="66"/>
      <c r="B247" s="113" t="s">
        <v>348</v>
      </c>
      <c r="C247" s="66" t="s">
        <v>434</v>
      </c>
      <c r="D247" s="68" t="s">
        <v>39</v>
      </c>
      <c r="E247" s="64">
        <f>2.82*8.04</f>
        <v>22.6728</v>
      </c>
      <c r="F247" s="64">
        <v>250</v>
      </c>
      <c r="G247" s="64">
        <f t="shared" si="5"/>
        <v>5668.2</v>
      </c>
      <c r="H247" s="81" t="s">
        <v>51</v>
      </c>
      <c r="I247" s="69" t="s">
        <v>435</v>
      </c>
    </row>
    <row r="248" ht="83" customHeight="1" spans="1:9">
      <c r="A248" s="66"/>
      <c r="B248" s="113" t="s">
        <v>371</v>
      </c>
      <c r="C248" s="66" t="s">
        <v>436</v>
      </c>
      <c r="D248" s="68" t="s">
        <v>39</v>
      </c>
      <c r="E248" s="64">
        <f>1.3*4*5</f>
        <v>26</v>
      </c>
      <c r="F248" s="64">
        <v>0</v>
      </c>
      <c r="G248" s="64">
        <f t="shared" si="5"/>
        <v>0</v>
      </c>
      <c r="H248" s="81" t="s">
        <v>211</v>
      </c>
      <c r="I248" s="69"/>
    </row>
    <row r="249" ht="52" customHeight="1" spans="1:9">
      <c r="A249" s="66"/>
      <c r="B249" s="113" t="s">
        <v>371</v>
      </c>
      <c r="C249" s="66" t="s">
        <v>437</v>
      </c>
      <c r="D249" s="68" t="s">
        <v>39</v>
      </c>
      <c r="E249" s="64">
        <f>0.46*(1.3+4)*2*5</f>
        <v>24.38</v>
      </c>
      <c r="F249" s="64">
        <v>0</v>
      </c>
      <c r="G249" s="64">
        <f t="shared" si="5"/>
        <v>0</v>
      </c>
      <c r="H249" s="81" t="s">
        <v>211</v>
      </c>
      <c r="I249" s="69"/>
    </row>
    <row r="250" ht="79" customHeight="1" spans="1:9">
      <c r="A250" s="66"/>
      <c r="B250" s="113" t="s">
        <v>438</v>
      </c>
      <c r="C250" s="66" t="s">
        <v>439</v>
      </c>
      <c r="D250" s="67" t="s">
        <v>160</v>
      </c>
      <c r="E250" s="64">
        <f>(4.427+6.311+8.195+2.7)*(1.3+4)*2*5/1000</f>
        <v>1.146549</v>
      </c>
      <c r="F250" s="64">
        <v>0</v>
      </c>
      <c r="G250" s="64">
        <f t="shared" si="5"/>
        <v>0</v>
      </c>
      <c r="H250" s="81" t="s">
        <v>211</v>
      </c>
      <c r="I250" s="69"/>
    </row>
    <row r="251" ht="26" customHeight="1" spans="1:9">
      <c r="A251" s="66">
        <v>17</v>
      </c>
      <c r="B251" s="112" t="s">
        <v>440</v>
      </c>
      <c r="C251" s="66"/>
      <c r="D251" s="68"/>
      <c r="E251" s="64"/>
      <c r="F251" s="64"/>
      <c r="G251" s="64"/>
      <c r="H251" s="81"/>
      <c r="I251" s="69"/>
    </row>
    <row r="252" ht="34.05" customHeight="1" spans="1:9">
      <c r="A252" s="66"/>
      <c r="B252" s="113"/>
      <c r="C252" s="77" t="s">
        <v>165</v>
      </c>
      <c r="D252" s="68" t="s">
        <v>45</v>
      </c>
      <c r="E252" s="64">
        <f>0.89*3*0.86*2</f>
        <v>4.5924</v>
      </c>
      <c r="F252" s="64">
        <v>10</v>
      </c>
      <c r="G252" s="64">
        <f t="shared" si="5"/>
        <v>45.924</v>
      </c>
      <c r="H252" s="81" t="s">
        <v>46</v>
      </c>
      <c r="I252" s="69"/>
    </row>
    <row r="253" ht="34.05" customHeight="1" spans="1:9">
      <c r="A253" s="66"/>
      <c r="B253" s="113"/>
      <c r="C253" s="113" t="s">
        <v>204</v>
      </c>
      <c r="D253" s="68" t="s">
        <v>45</v>
      </c>
      <c r="E253" s="64">
        <f>E252-E255-E256-E258</f>
        <v>2.9274</v>
      </c>
      <c r="F253" s="64">
        <v>8</v>
      </c>
      <c r="G253" s="64">
        <f t="shared" si="5"/>
        <v>23.4192</v>
      </c>
      <c r="H253" s="81" t="s">
        <v>46</v>
      </c>
      <c r="I253" s="69"/>
    </row>
    <row r="254" ht="34.05" customHeight="1" spans="1:9">
      <c r="A254" s="66"/>
      <c r="B254" s="113"/>
      <c r="C254" s="113" t="s">
        <v>189</v>
      </c>
      <c r="D254" s="68" t="s">
        <v>39</v>
      </c>
      <c r="E254" s="64">
        <f>0.89*3*2</f>
        <v>5.34</v>
      </c>
      <c r="F254" s="64">
        <v>2.5</v>
      </c>
      <c r="G254" s="64">
        <f t="shared" si="5"/>
        <v>13.35</v>
      </c>
      <c r="H254" s="81" t="s">
        <v>46</v>
      </c>
      <c r="I254" s="69"/>
    </row>
    <row r="255" ht="34.05" customHeight="1" spans="1:9">
      <c r="A255" s="66"/>
      <c r="B255" s="113"/>
      <c r="C255" s="113" t="s">
        <v>47</v>
      </c>
      <c r="D255" s="68" t="s">
        <v>45</v>
      </c>
      <c r="E255" s="64">
        <f>0.89*3*0.15*2</f>
        <v>0.801</v>
      </c>
      <c r="F255" s="64">
        <v>110</v>
      </c>
      <c r="G255" s="64">
        <f t="shared" si="5"/>
        <v>88.11</v>
      </c>
      <c r="H255" s="81" t="s">
        <v>46</v>
      </c>
      <c r="I255" s="69"/>
    </row>
    <row r="256" ht="34.05" customHeight="1" spans="1:9">
      <c r="A256" s="66"/>
      <c r="B256" s="113"/>
      <c r="C256" s="113" t="s">
        <v>277</v>
      </c>
      <c r="D256" s="68" t="s">
        <v>45</v>
      </c>
      <c r="E256" s="64">
        <f>0.69*3*0.1*2</f>
        <v>0.414</v>
      </c>
      <c r="F256" s="64">
        <v>370</v>
      </c>
      <c r="G256" s="64">
        <f t="shared" si="5"/>
        <v>153.18</v>
      </c>
      <c r="H256" s="81" t="s">
        <v>46</v>
      </c>
      <c r="I256" s="69"/>
    </row>
    <row r="257" ht="34.05" customHeight="1" spans="1:9">
      <c r="A257" s="66"/>
      <c r="B257" s="77" t="s">
        <v>221</v>
      </c>
      <c r="C257" s="66" t="s">
        <v>169</v>
      </c>
      <c r="D257" s="68" t="s">
        <v>45</v>
      </c>
      <c r="E257" s="64">
        <f>(0.37*0.37+0.25*2.31)*2.5*2</f>
        <v>3.572</v>
      </c>
      <c r="F257" s="64">
        <v>570</v>
      </c>
      <c r="G257" s="64">
        <f t="shared" si="5"/>
        <v>2036.04</v>
      </c>
      <c r="H257" s="81" t="s">
        <v>46</v>
      </c>
      <c r="I257" s="69"/>
    </row>
    <row r="258" ht="34.05" customHeight="1" spans="1:9">
      <c r="A258" s="66"/>
      <c r="B258" s="113" t="s">
        <v>305</v>
      </c>
      <c r="C258" s="66" t="s">
        <v>308</v>
      </c>
      <c r="D258" s="68" t="s">
        <v>45</v>
      </c>
      <c r="E258" s="64">
        <f>0.25*0.3*3*2</f>
        <v>0.45</v>
      </c>
      <c r="F258" s="64">
        <v>520</v>
      </c>
      <c r="G258" s="64">
        <f t="shared" si="5"/>
        <v>234</v>
      </c>
      <c r="H258" s="81" t="s">
        <v>46</v>
      </c>
      <c r="I258" s="69"/>
    </row>
    <row r="259" ht="34.05" customHeight="1" spans="1:9">
      <c r="A259" s="66"/>
      <c r="B259" s="113" t="s">
        <v>281</v>
      </c>
      <c r="C259" s="66" t="s">
        <v>308</v>
      </c>
      <c r="D259" s="68" t="s">
        <v>45</v>
      </c>
      <c r="E259" s="64">
        <f>0.25*0.25*2.61*2</f>
        <v>0.32625</v>
      </c>
      <c r="F259" s="64">
        <v>600</v>
      </c>
      <c r="G259" s="64">
        <f t="shared" si="5"/>
        <v>195.75</v>
      </c>
      <c r="H259" s="81" t="s">
        <v>46</v>
      </c>
      <c r="I259" s="69"/>
    </row>
    <row r="260" ht="34.05" customHeight="1" spans="1:9">
      <c r="A260" s="66"/>
      <c r="B260" s="113" t="s">
        <v>441</v>
      </c>
      <c r="C260" s="66" t="s">
        <v>308</v>
      </c>
      <c r="D260" s="68" t="s">
        <v>45</v>
      </c>
      <c r="E260" s="64">
        <f>0.25*0.3*3*2</f>
        <v>0.45</v>
      </c>
      <c r="F260" s="64">
        <v>600</v>
      </c>
      <c r="G260" s="64">
        <f t="shared" si="5"/>
        <v>270</v>
      </c>
      <c r="H260" s="81" t="s">
        <v>46</v>
      </c>
      <c r="I260" s="69"/>
    </row>
    <row r="261" ht="44" customHeight="1" spans="1:9">
      <c r="A261" s="66"/>
      <c r="B261" s="113" t="s">
        <v>283</v>
      </c>
      <c r="C261" s="66" t="s">
        <v>442</v>
      </c>
      <c r="D261" s="67" t="s">
        <v>160</v>
      </c>
      <c r="E261" s="64">
        <f>((3*4*2+2.9*4*2)*16*16+0.55*(16*4)*8*8)*0.00617/1000*2</f>
        <v>0.17690624</v>
      </c>
      <c r="F261" s="64">
        <v>4900</v>
      </c>
      <c r="G261" s="64">
        <f t="shared" ref="G261:G300" si="6">E261*F261</f>
        <v>866.840576</v>
      </c>
      <c r="H261" s="81" t="s">
        <v>46</v>
      </c>
      <c r="I261" s="69"/>
    </row>
    <row r="262" ht="34.05" customHeight="1" spans="1:9">
      <c r="A262" s="66"/>
      <c r="B262" s="113" t="s">
        <v>443</v>
      </c>
      <c r="C262" s="66" t="s">
        <v>444</v>
      </c>
      <c r="D262" s="68" t="s">
        <v>39</v>
      </c>
      <c r="E262" s="64">
        <f>(3*2+0.29)*2.67*2+22*2+0.72*7.85+15*0.3*2</f>
        <v>92.2406</v>
      </c>
      <c r="F262" s="64">
        <v>100</v>
      </c>
      <c r="G262" s="64">
        <f t="shared" si="6"/>
        <v>9224.06</v>
      </c>
      <c r="H262" s="81" t="s">
        <v>46</v>
      </c>
      <c r="I262" s="69"/>
    </row>
    <row r="263" ht="66" customHeight="1" spans="1:9">
      <c r="A263" s="66"/>
      <c r="B263" s="113" t="s">
        <v>340</v>
      </c>
      <c r="C263" s="66" t="s">
        <v>445</v>
      </c>
      <c r="D263" s="67" t="s">
        <v>160</v>
      </c>
      <c r="E263" s="68">
        <f>(22.77*((1.78+1.5+1.2+0.88+0.6)*2+0.5*6)+14.92*(1.65+1.35+1.05+0.75+0.45)*2+30.62*7.85*4+22.77*(7.8*9+18.72*6)+4.43*((18.72+7.8)*2*2+0.4*38*2+0.3*38))/1000</f>
        <v>6.2689452</v>
      </c>
      <c r="F263" s="64">
        <v>0</v>
      </c>
      <c r="G263" s="64">
        <f t="shared" si="6"/>
        <v>0</v>
      </c>
      <c r="H263" s="81" t="s">
        <v>211</v>
      </c>
      <c r="I263" s="69"/>
    </row>
    <row r="264" ht="45" customHeight="1" spans="1:9">
      <c r="A264" s="66"/>
      <c r="B264" s="113" t="s">
        <v>324</v>
      </c>
      <c r="C264" s="66" t="s">
        <v>446</v>
      </c>
      <c r="D264" s="68" t="s">
        <v>39</v>
      </c>
      <c r="E264" s="64">
        <v>50.58</v>
      </c>
      <c r="F264" s="64">
        <v>0</v>
      </c>
      <c r="G264" s="64">
        <f t="shared" si="6"/>
        <v>0</v>
      </c>
      <c r="H264" s="81" t="s">
        <v>211</v>
      </c>
      <c r="I264" s="69"/>
    </row>
    <row r="265" ht="34.05" customHeight="1" spans="1:9">
      <c r="A265" s="66"/>
      <c r="B265" s="113" t="s">
        <v>324</v>
      </c>
      <c r="C265" s="66" t="s">
        <v>447</v>
      </c>
      <c r="D265" s="68" t="s">
        <v>39</v>
      </c>
      <c r="E265" s="64">
        <f>(146.94-50.58)*2+0.4*(53.14+32.3)</f>
        <v>226.896</v>
      </c>
      <c r="F265" s="64">
        <v>0</v>
      </c>
      <c r="G265" s="64">
        <f t="shared" si="6"/>
        <v>0</v>
      </c>
      <c r="H265" s="81" t="s">
        <v>211</v>
      </c>
      <c r="I265" s="69"/>
    </row>
    <row r="266" ht="34.05" customHeight="1" spans="1:9">
      <c r="A266" s="66"/>
      <c r="B266" s="113" t="s">
        <v>448</v>
      </c>
      <c r="C266" s="66" t="s">
        <v>449</v>
      </c>
      <c r="D266" s="68" t="s">
        <v>39</v>
      </c>
      <c r="E266" s="64">
        <v>45</v>
      </c>
      <c r="F266" s="64">
        <v>0</v>
      </c>
      <c r="G266" s="64">
        <f t="shared" si="6"/>
        <v>0</v>
      </c>
      <c r="H266" s="81" t="s">
        <v>211</v>
      </c>
      <c r="I266" s="110"/>
    </row>
    <row r="267" ht="34.05" customHeight="1" spans="1:9">
      <c r="A267" s="66">
        <v>18</v>
      </c>
      <c r="B267" s="112" t="s">
        <v>450</v>
      </c>
      <c r="C267" s="66"/>
      <c r="D267" s="68"/>
      <c r="E267" s="64"/>
      <c r="F267" s="64"/>
      <c r="G267" s="64"/>
      <c r="H267" s="81"/>
      <c r="I267" s="69"/>
    </row>
    <row r="268" ht="34.05" customHeight="1" spans="1:9">
      <c r="A268" s="66"/>
      <c r="B268" s="113" t="s">
        <v>443</v>
      </c>
      <c r="C268" s="66" t="s">
        <v>444</v>
      </c>
      <c r="D268" s="68" t="s">
        <v>39</v>
      </c>
      <c r="E268" s="64">
        <f>23.9*2+0.72*7.75+0.3*14.2*2</f>
        <v>61.9</v>
      </c>
      <c r="F268" s="64">
        <v>100</v>
      </c>
      <c r="G268" s="64">
        <f t="shared" si="6"/>
        <v>6190</v>
      </c>
      <c r="H268" s="81" t="s">
        <v>46</v>
      </c>
      <c r="I268" s="69"/>
    </row>
    <row r="269" ht="60" customHeight="1" spans="1:9">
      <c r="A269" s="66"/>
      <c r="B269" s="113" t="s">
        <v>340</v>
      </c>
      <c r="C269" s="66" t="s">
        <v>451</v>
      </c>
      <c r="D269" s="67" t="s">
        <v>160</v>
      </c>
      <c r="E269" s="68">
        <f>(22.77*((1.78+1.5+1.2+0.88+0.6)*2+0.5*6)+14.92*(1.65+1.35+1.05+0.75)*2+22.77*(7.75*10+15.2*6)+4.43*((15.2+7.75)*2*2+0.3*32*2+0.3*32))/1000</f>
        <v>4.8585174</v>
      </c>
      <c r="F269" s="64">
        <v>0</v>
      </c>
      <c r="G269" s="64">
        <f t="shared" si="6"/>
        <v>0</v>
      </c>
      <c r="H269" s="81" t="s">
        <v>211</v>
      </c>
      <c r="I269" s="69"/>
    </row>
    <row r="270" ht="34.05" customHeight="1" spans="1:9">
      <c r="A270" s="66"/>
      <c r="B270" s="113" t="s">
        <v>324</v>
      </c>
      <c r="C270" s="66" t="s">
        <v>446</v>
      </c>
      <c r="D270" s="68" t="s">
        <v>39</v>
      </c>
      <c r="E270" s="64">
        <v>33.58</v>
      </c>
      <c r="F270" s="64">
        <v>0</v>
      </c>
      <c r="G270" s="64">
        <f t="shared" si="6"/>
        <v>0</v>
      </c>
      <c r="H270" s="81" t="s">
        <v>211</v>
      </c>
      <c r="I270" s="69"/>
    </row>
    <row r="271" ht="34.05" customHeight="1" spans="1:9">
      <c r="A271" s="66"/>
      <c r="B271" s="113" t="s">
        <v>324</v>
      </c>
      <c r="C271" s="66" t="s">
        <v>447</v>
      </c>
      <c r="D271" s="68" t="s">
        <v>39</v>
      </c>
      <c r="E271" s="64">
        <f>(117.8-33.58)*2+0.4*(45.9+24.3)</f>
        <v>196.52</v>
      </c>
      <c r="F271" s="64">
        <v>0</v>
      </c>
      <c r="G271" s="64">
        <f t="shared" si="6"/>
        <v>0</v>
      </c>
      <c r="H271" s="81" t="s">
        <v>211</v>
      </c>
      <c r="I271" s="69"/>
    </row>
    <row r="272" ht="34.05" customHeight="1" spans="1:9">
      <c r="A272" s="66"/>
      <c r="B272" s="113" t="s">
        <v>448</v>
      </c>
      <c r="C272" s="99" t="s">
        <v>449</v>
      </c>
      <c r="D272" s="68" t="s">
        <v>39</v>
      </c>
      <c r="E272" s="64">
        <v>45</v>
      </c>
      <c r="F272" s="64">
        <v>0</v>
      </c>
      <c r="G272" s="64">
        <f t="shared" si="6"/>
        <v>0</v>
      </c>
      <c r="H272" s="81" t="s">
        <v>211</v>
      </c>
      <c r="I272" s="69"/>
    </row>
    <row r="273" ht="34.05" customHeight="1" spans="1:9">
      <c r="A273" s="66">
        <v>19</v>
      </c>
      <c r="B273" s="112" t="s">
        <v>452</v>
      </c>
      <c r="C273" s="66"/>
      <c r="D273" s="68"/>
      <c r="E273" s="64"/>
      <c r="F273" s="64"/>
      <c r="G273" s="64"/>
      <c r="H273" s="81"/>
      <c r="I273" s="69"/>
    </row>
    <row r="274" ht="101" customHeight="1" spans="1:9">
      <c r="A274" s="66"/>
      <c r="B274" s="113" t="s">
        <v>340</v>
      </c>
      <c r="C274" s="99" t="s">
        <v>453</v>
      </c>
      <c r="D274" s="67" t="s">
        <v>160</v>
      </c>
      <c r="E274" s="68">
        <f>(31.2*(2.5*7+0.6+5.6*2+2.95*2)+11.492*5.6+4.584*((3.24+3.116*2)*18+(3.24+3.116+0.9)*6+3.116*26)+62.8*0.25*0.25*8)/1000*6</f>
        <v>15.278971392</v>
      </c>
      <c r="F274" s="64">
        <v>0</v>
      </c>
      <c r="G274" s="64">
        <f t="shared" si="6"/>
        <v>0</v>
      </c>
      <c r="H274" s="60" t="s">
        <v>211</v>
      </c>
      <c r="I274" s="69"/>
    </row>
    <row r="275" ht="34.05" customHeight="1" spans="1:9">
      <c r="A275" s="66"/>
      <c r="B275" s="113" t="s">
        <v>421</v>
      </c>
      <c r="C275" s="66" t="s">
        <v>454</v>
      </c>
      <c r="D275" s="68" t="s">
        <v>39</v>
      </c>
      <c r="E275" s="64">
        <f>6.34*3.44*6</f>
        <v>130.8576</v>
      </c>
      <c r="F275" s="64">
        <v>0</v>
      </c>
      <c r="G275" s="64">
        <f t="shared" si="6"/>
        <v>0</v>
      </c>
      <c r="H275" s="81" t="s">
        <v>211</v>
      </c>
      <c r="I275" s="69"/>
    </row>
    <row r="276" ht="34.05" customHeight="1" spans="1:9">
      <c r="A276" s="66"/>
      <c r="B276" s="113" t="s">
        <v>334</v>
      </c>
      <c r="C276" s="66" t="s">
        <v>455</v>
      </c>
      <c r="D276" s="68" t="s">
        <v>39</v>
      </c>
      <c r="E276" s="64">
        <f>3.6*6</f>
        <v>21.6</v>
      </c>
      <c r="F276" s="64">
        <v>72</v>
      </c>
      <c r="G276" s="64">
        <f t="shared" si="6"/>
        <v>1555.2</v>
      </c>
      <c r="H276" s="81" t="s">
        <v>51</v>
      </c>
      <c r="I276" s="69" t="s">
        <v>456</v>
      </c>
    </row>
    <row r="277" ht="34.05" customHeight="1" spans="1:9">
      <c r="A277" s="66"/>
      <c r="B277" s="113" t="s">
        <v>443</v>
      </c>
      <c r="C277" s="66" t="s">
        <v>444</v>
      </c>
      <c r="D277" s="68" t="s">
        <v>39</v>
      </c>
      <c r="E277" s="64">
        <f>E278*0.75</f>
        <v>47.415</v>
      </c>
      <c r="F277" s="64">
        <v>100</v>
      </c>
      <c r="G277" s="64">
        <f t="shared" si="6"/>
        <v>4741.5</v>
      </c>
      <c r="H277" s="81" t="s">
        <v>46</v>
      </c>
      <c r="I277" s="69"/>
    </row>
    <row r="278" ht="33" customHeight="1" spans="1:9">
      <c r="A278" s="66"/>
      <c r="B278" s="113"/>
      <c r="C278" s="66" t="s">
        <v>457</v>
      </c>
      <c r="D278" s="68" t="s">
        <v>35</v>
      </c>
      <c r="E278" s="64">
        <f>8.1+10.8+(5.5+4.1)*2+(5.46+2.63*2+2.75)+(5.08+2.68+3.89)</f>
        <v>63.22</v>
      </c>
      <c r="F278" s="64">
        <v>0</v>
      </c>
      <c r="G278" s="64">
        <f t="shared" si="6"/>
        <v>0</v>
      </c>
      <c r="H278" s="81" t="s">
        <v>211</v>
      </c>
      <c r="I278" s="69"/>
    </row>
    <row r="279" ht="34.05" customHeight="1" spans="1:9">
      <c r="A279" s="66">
        <v>20</v>
      </c>
      <c r="B279" s="108" t="s">
        <v>458</v>
      </c>
      <c r="C279" s="66"/>
      <c r="D279" s="68"/>
      <c r="E279" s="64"/>
      <c r="F279" s="64"/>
      <c r="G279" s="64"/>
      <c r="H279" s="81"/>
      <c r="I279" s="69"/>
    </row>
    <row r="280" ht="34.05" customHeight="1" spans="1:9">
      <c r="A280" s="66"/>
      <c r="B280" s="113" t="s">
        <v>459</v>
      </c>
      <c r="C280" s="66"/>
      <c r="D280" s="68" t="s">
        <v>39</v>
      </c>
      <c r="E280" s="64">
        <f>(3.3+0.75)*0.6*24</f>
        <v>58.32</v>
      </c>
      <c r="F280" s="64">
        <v>0</v>
      </c>
      <c r="G280" s="64">
        <f t="shared" si="6"/>
        <v>0</v>
      </c>
      <c r="H280" s="81" t="s">
        <v>211</v>
      </c>
      <c r="I280" s="69"/>
    </row>
    <row r="281" ht="34.05" customHeight="1" spans="1:9">
      <c r="A281" s="66"/>
      <c r="B281" s="113" t="s">
        <v>443</v>
      </c>
      <c r="C281" s="66" t="s">
        <v>444</v>
      </c>
      <c r="D281" s="68" t="s">
        <v>39</v>
      </c>
      <c r="E281" s="64">
        <f>(3.8+1.25)*2*1.5*24</f>
        <v>363.6</v>
      </c>
      <c r="F281" s="64">
        <v>100</v>
      </c>
      <c r="G281" s="64">
        <f t="shared" si="6"/>
        <v>36360</v>
      </c>
      <c r="H281" s="81" t="s">
        <v>46</v>
      </c>
      <c r="I281" s="69"/>
    </row>
    <row r="282" ht="34.05" customHeight="1" spans="1:9">
      <c r="A282" s="116"/>
      <c r="B282" s="115" t="s">
        <v>198</v>
      </c>
      <c r="C282" s="66"/>
      <c r="D282" s="68"/>
      <c r="E282" s="64"/>
      <c r="F282" s="64"/>
      <c r="G282" s="64"/>
      <c r="H282" s="81"/>
      <c r="I282" s="69"/>
    </row>
    <row r="283" ht="34.05" customHeight="1" spans="1:9">
      <c r="A283" s="66"/>
      <c r="B283" s="113" t="s">
        <v>460</v>
      </c>
      <c r="C283" s="66"/>
      <c r="D283" s="68" t="s">
        <v>200</v>
      </c>
      <c r="E283" s="64">
        <v>1</v>
      </c>
      <c r="F283" s="64">
        <v>0</v>
      </c>
      <c r="G283" s="64">
        <f t="shared" si="6"/>
        <v>0</v>
      </c>
      <c r="H283" s="81" t="s">
        <v>201</v>
      </c>
      <c r="I283" s="69"/>
    </row>
    <row r="284" ht="34.05" customHeight="1" spans="1:9">
      <c r="A284" s="66"/>
      <c r="B284" s="113" t="s">
        <v>461</v>
      </c>
      <c r="C284" s="66"/>
      <c r="D284" s="68" t="s">
        <v>200</v>
      </c>
      <c r="E284" s="64">
        <v>1</v>
      </c>
      <c r="F284" s="64">
        <v>0</v>
      </c>
      <c r="G284" s="64">
        <f t="shared" si="6"/>
        <v>0</v>
      </c>
      <c r="H284" s="81" t="s">
        <v>201</v>
      </c>
      <c r="I284" s="69"/>
    </row>
    <row r="285" ht="34.05" customHeight="1" spans="1:9">
      <c r="A285" s="66"/>
      <c r="B285" s="113" t="s">
        <v>462</v>
      </c>
      <c r="C285" s="66"/>
      <c r="D285" s="68" t="s">
        <v>200</v>
      </c>
      <c r="E285" s="64">
        <v>1</v>
      </c>
      <c r="F285" s="64">
        <v>100</v>
      </c>
      <c r="G285" s="64">
        <f t="shared" si="6"/>
        <v>100</v>
      </c>
      <c r="H285" s="81" t="s">
        <v>201</v>
      </c>
      <c r="I285" s="69"/>
    </row>
    <row r="286" ht="34.05" customHeight="1" spans="1:9">
      <c r="A286" s="66"/>
      <c r="B286" s="113" t="s">
        <v>463</v>
      </c>
      <c r="C286" s="66"/>
      <c r="D286" s="68" t="s">
        <v>464</v>
      </c>
      <c r="E286" s="64">
        <v>1</v>
      </c>
      <c r="F286" s="64">
        <v>50</v>
      </c>
      <c r="G286" s="64">
        <f t="shared" si="6"/>
        <v>50</v>
      </c>
      <c r="H286" s="81" t="s">
        <v>201</v>
      </c>
      <c r="I286" s="69"/>
    </row>
    <row r="287" ht="34.05" customHeight="1" spans="1:9">
      <c r="A287" s="66"/>
      <c r="B287" s="113" t="s">
        <v>465</v>
      </c>
      <c r="C287" s="66"/>
      <c r="D287" s="68" t="s">
        <v>200</v>
      </c>
      <c r="E287" s="64">
        <v>42</v>
      </c>
      <c r="F287" s="64">
        <v>15</v>
      </c>
      <c r="G287" s="64">
        <f t="shared" si="6"/>
        <v>630</v>
      </c>
      <c r="H287" s="81" t="s">
        <v>201</v>
      </c>
      <c r="I287" s="69"/>
    </row>
    <row r="288" ht="34.05" customHeight="1" spans="1:9">
      <c r="A288" s="66"/>
      <c r="B288" s="113" t="s">
        <v>466</v>
      </c>
      <c r="C288" s="66"/>
      <c r="D288" s="68" t="s">
        <v>200</v>
      </c>
      <c r="E288" s="64">
        <v>8</v>
      </c>
      <c r="F288" s="64">
        <v>100</v>
      </c>
      <c r="G288" s="64">
        <f t="shared" si="6"/>
        <v>800</v>
      </c>
      <c r="H288" s="81" t="s">
        <v>201</v>
      </c>
      <c r="I288" s="69"/>
    </row>
    <row r="289" ht="34.05" customHeight="1" spans="1:9">
      <c r="A289" s="66"/>
      <c r="B289" s="113" t="s">
        <v>467</v>
      </c>
      <c r="C289" s="66"/>
      <c r="D289" s="68" t="s">
        <v>200</v>
      </c>
      <c r="E289" s="64">
        <v>1</v>
      </c>
      <c r="F289" s="64">
        <v>100</v>
      </c>
      <c r="G289" s="64">
        <f t="shared" si="6"/>
        <v>100</v>
      </c>
      <c r="H289" s="81" t="s">
        <v>201</v>
      </c>
      <c r="I289" s="69"/>
    </row>
    <row r="290" ht="34.05" customHeight="1" spans="1:9">
      <c r="A290" s="66"/>
      <c r="B290" s="113" t="s">
        <v>468</v>
      </c>
      <c r="C290" s="66"/>
      <c r="D290" s="68" t="s">
        <v>200</v>
      </c>
      <c r="E290" s="64">
        <v>2</v>
      </c>
      <c r="F290" s="64">
        <v>50</v>
      </c>
      <c r="G290" s="64">
        <f t="shared" si="6"/>
        <v>100</v>
      </c>
      <c r="H290" s="81" t="s">
        <v>201</v>
      </c>
      <c r="I290" s="69"/>
    </row>
    <row r="291" ht="34.05" customHeight="1" spans="1:9">
      <c r="A291" s="66"/>
      <c r="B291" s="113" t="s">
        <v>469</v>
      </c>
      <c r="C291" s="66"/>
      <c r="D291" s="68" t="s">
        <v>200</v>
      </c>
      <c r="E291" s="64">
        <v>7</v>
      </c>
      <c r="F291" s="64">
        <v>15</v>
      </c>
      <c r="G291" s="64">
        <f t="shared" si="6"/>
        <v>105</v>
      </c>
      <c r="H291" s="81" t="s">
        <v>201</v>
      </c>
      <c r="I291" s="69"/>
    </row>
    <row r="292" ht="34.05" customHeight="1" spans="1:9">
      <c r="A292" s="66"/>
      <c r="B292" s="113" t="s">
        <v>470</v>
      </c>
      <c r="C292" s="66"/>
      <c r="D292" s="68" t="s">
        <v>200</v>
      </c>
      <c r="E292" s="64">
        <v>24</v>
      </c>
      <c r="F292" s="64">
        <v>50</v>
      </c>
      <c r="G292" s="64">
        <f t="shared" si="6"/>
        <v>1200</v>
      </c>
      <c r="H292" s="81" t="s">
        <v>201</v>
      </c>
      <c r="I292" s="69"/>
    </row>
    <row r="293" ht="34.05" customHeight="1" spans="1:9">
      <c r="A293" s="66"/>
      <c r="B293" s="113" t="s">
        <v>471</v>
      </c>
      <c r="C293" s="66"/>
      <c r="D293" s="68" t="s">
        <v>464</v>
      </c>
      <c r="E293" s="64">
        <v>4</v>
      </c>
      <c r="F293" s="64">
        <v>30</v>
      </c>
      <c r="G293" s="64">
        <f t="shared" si="6"/>
        <v>120</v>
      </c>
      <c r="H293" s="81" t="s">
        <v>201</v>
      </c>
      <c r="I293" s="69"/>
    </row>
    <row r="294" ht="34.05" customHeight="1" spans="1:9">
      <c r="A294" s="66"/>
      <c r="B294" s="113" t="s">
        <v>472</v>
      </c>
      <c r="C294" s="66"/>
      <c r="D294" s="68" t="s">
        <v>464</v>
      </c>
      <c r="E294" s="64">
        <v>1</v>
      </c>
      <c r="F294" s="64">
        <v>200</v>
      </c>
      <c r="G294" s="64">
        <f t="shared" si="6"/>
        <v>200</v>
      </c>
      <c r="H294" s="81" t="s">
        <v>201</v>
      </c>
      <c r="I294" s="69"/>
    </row>
    <row r="295" ht="34.05" customHeight="1" spans="1:9">
      <c r="A295" s="66"/>
      <c r="B295" s="113" t="s">
        <v>473</v>
      </c>
      <c r="C295" s="66"/>
      <c r="D295" s="68" t="s">
        <v>200</v>
      </c>
      <c r="E295" s="64">
        <v>6</v>
      </c>
      <c r="F295" s="64">
        <v>50</v>
      </c>
      <c r="G295" s="64">
        <f t="shared" si="6"/>
        <v>300</v>
      </c>
      <c r="H295" s="81" t="s">
        <v>201</v>
      </c>
      <c r="I295" s="69"/>
    </row>
    <row r="296" ht="34.05" customHeight="1" spans="1:9">
      <c r="A296" s="66"/>
      <c r="B296" s="117" t="s">
        <v>474</v>
      </c>
      <c r="C296" s="118"/>
      <c r="D296" s="119" t="s">
        <v>200</v>
      </c>
      <c r="E296" s="120"/>
      <c r="F296" s="64">
        <v>0</v>
      </c>
      <c r="G296" s="64">
        <f t="shared" si="6"/>
        <v>0</v>
      </c>
      <c r="H296" s="81" t="s">
        <v>201</v>
      </c>
      <c r="I296" s="69"/>
    </row>
    <row r="297" ht="34.05" customHeight="1" spans="1:9">
      <c r="A297" s="66"/>
      <c r="B297" s="113" t="s">
        <v>475</v>
      </c>
      <c r="C297" s="66"/>
      <c r="D297" s="68" t="s">
        <v>200</v>
      </c>
      <c r="E297" s="64">
        <v>2</v>
      </c>
      <c r="F297" s="64">
        <v>100</v>
      </c>
      <c r="G297" s="64">
        <f t="shared" si="6"/>
        <v>200</v>
      </c>
      <c r="H297" s="81" t="s">
        <v>201</v>
      </c>
      <c r="I297" s="69"/>
    </row>
    <row r="298" ht="34.05" customHeight="1" spans="1:9">
      <c r="A298" s="116"/>
      <c r="B298" s="121" t="s">
        <v>476</v>
      </c>
      <c r="C298" s="66"/>
      <c r="D298" s="68"/>
      <c r="E298" s="64"/>
      <c r="F298" s="64"/>
      <c r="G298" s="64"/>
      <c r="H298" s="81"/>
      <c r="I298" s="69"/>
    </row>
    <row r="299" ht="34.05" customHeight="1" spans="1:9">
      <c r="A299" s="66"/>
      <c r="B299" s="113" t="s">
        <v>477</v>
      </c>
      <c r="C299" s="66" t="s">
        <v>478</v>
      </c>
      <c r="D299" s="68" t="s">
        <v>39</v>
      </c>
      <c r="E299" s="64">
        <v>30739</v>
      </c>
      <c r="F299" s="64">
        <v>7.3</v>
      </c>
      <c r="G299" s="64">
        <f t="shared" si="6"/>
        <v>224394.7</v>
      </c>
      <c r="H299" s="81" t="s">
        <v>46</v>
      </c>
      <c r="I299" s="69"/>
    </row>
    <row r="300" ht="34.05" customHeight="1" spans="1:9">
      <c r="A300" s="66"/>
      <c r="B300" s="113" t="s">
        <v>479</v>
      </c>
      <c r="C300" s="66" t="s">
        <v>480</v>
      </c>
      <c r="D300" s="68" t="s">
        <v>35</v>
      </c>
      <c r="E300" s="64">
        <f>16.8*2+28.17+1.7*2+1.4*2+7.2</f>
        <v>75.17</v>
      </c>
      <c r="F300" s="64">
        <v>489.9775</v>
      </c>
      <c r="G300" s="64">
        <f t="shared" si="6"/>
        <v>36831.608675</v>
      </c>
      <c r="H300" s="81" t="s">
        <v>46</v>
      </c>
      <c r="I300" s="69" t="s">
        <v>481</v>
      </c>
    </row>
    <row r="301" ht="34.05" customHeight="1" spans="1:9">
      <c r="A301" s="122"/>
      <c r="B301" s="123" t="s">
        <v>482</v>
      </c>
      <c r="C301" s="66"/>
      <c r="D301" s="68"/>
      <c r="E301" s="64"/>
      <c r="F301" s="64"/>
      <c r="G301" s="64"/>
      <c r="H301" s="81"/>
      <c r="I301" s="69"/>
    </row>
    <row r="302" ht="34.05" customHeight="1" spans="1:9">
      <c r="A302" s="66"/>
      <c r="B302" s="113" t="s">
        <v>483</v>
      </c>
      <c r="C302" s="66" t="s">
        <v>484</v>
      </c>
      <c r="D302" s="68" t="s">
        <v>39</v>
      </c>
      <c r="E302" s="64">
        <v>317</v>
      </c>
      <c r="F302" s="64">
        <v>57</v>
      </c>
      <c r="G302" s="64">
        <f t="shared" ref="G301:G325" si="7">E302*F302</f>
        <v>18069</v>
      </c>
      <c r="H302" s="81" t="s">
        <v>51</v>
      </c>
      <c r="I302" s="69"/>
    </row>
    <row r="303" ht="34.05" customHeight="1" spans="1:9">
      <c r="A303" s="66"/>
      <c r="B303" s="113"/>
      <c r="C303" s="66" t="s">
        <v>485</v>
      </c>
      <c r="D303" s="68" t="s">
        <v>39</v>
      </c>
      <c r="E303" s="64">
        <v>75.56</v>
      </c>
      <c r="F303" s="64">
        <v>67</v>
      </c>
      <c r="G303" s="64">
        <f t="shared" si="7"/>
        <v>5062.52</v>
      </c>
      <c r="H303" s="81" t="s">
        <v>51</v>
      </c>
      <c r="I303" s="69" t="s">
        <v>486</v>
      </c>
    </row>
    <row r="304" ht="34.05" customHeight="1" spans="1:9">
      <c r="A304" s="66"/>
      <c r="B304" s="113" t="s">
        <v>487</v>
      </c>
      <c r="C304" s="66" t="s">
        <v>488</v>
      </c>
      <c r="D304" s="68" t="s">
        <v>39</v>
      </c>
      <c r="E304" s="64">
        <v>83.16</v>
      </c>
      <c r="F304" s="64">
        <v>67</v>
      </c>
      <c r="G304" s="64">
        <f t="shared" si="7"/>
        <v>5571.72</v>
      </c>
      <c r="H304" s="81" t="s">
        <v>51</v>
      </c>
      <c r="I304" s="69"/>
    </row>
    <row r="305" ht="34.05" customHeight="1" spans="1:9">
      <c r="A305" s="66"/>
      <c r="B305" s="113"/>
      <c r="C305" s="66" t="s">
        <v>489</v>
      </c>
      <c r="D305" s="68" t="s">
        <v>39</v>
      </c>
      <c r="E305" s="64">
        <v>23.76</v>
      </c>
      <c r="F305" s="64">
        <v>82</v>
      </c>
      <c r="G305" s="64">
        <f t="shared" si="7"/>
        <v>1948.32</v>
      </c>
      <c r="H305" s="81" t="s">
        <v>51</v>
      </c>
      <c r="I305" s="69"/>
    </row>
    <row r="306" ht="34.05" customHeight="1" spans="1:9">
      <c r="A306" s="66"/>
      <c r="B306" s="113"/>
      <c r="C306" s="66" t="s">
        <v>490</v>
      </c>
      <c r="D306" s="68" t="s">
        <v>39</v>
      </c>
      <c r="E306" s="64">
        <v>59.2</v>
      </c>
      <c r="F306" s="64">
        <v>67</v>
      </c>
      <c r="G306" s="64">
        <f t="shared" si="7"/>
        <v>3966.4</v>
      </c>
      <c r="H306" s="81" t="s">
        <v>51</v>
      </c>
      <c r="I306" s="69"/>
    </row>
    <row r="307" ht="34.05" customHeight="1" spans="1:10">
      <c r="A307" s="66"/>
      <c r="B307" s="113"/>
      <c r="C307" s="66" t="s">
        <v>491</v>
      </c>
      <c r="D307" s="68" t="s">
        <v>35</v>
      </c>
      <c r="E307" s="64"/>
      <c r="F307" s="64">
        <v>810</v>
      </c>
      <c r="G307" s="64">
        <f t="shared" si="7"/>
        <v>0</v>
      </c>
      <c r="H307" s="81"/>
      <c r="I307" s="69" t="s">
        <v>492</v>
      </c>
      <c r="J307" s="124"/>
    </row>
    <row r="308" ht="34.05" customHeight="1" spans="1:9">
      <c r="A308" s="66"/>
      <c r="B308" s="113" t="s">
        <v>493</v>
      </c>
      <c r="C308" s="66" t="s">
        <v>494</v>
      </c>
      <c r="D308" s="68" t="s">
        <v>35</v>
      </c>
      <c r="E308" s="64"/>
      <c r="F308" s="64">
        <v>810</v>
      </c>
      <c r="G308" s="64">
        <f t="shared" si="7"/>
        <v>0</v>
      </c>
      <c r="H308" s="81"/>
      <c r="I308" s="69" t="s">
        <v>492</v>
      </c>
    </row>
    <row r="309" ht="34.05" customHeight="1" spans="1:9">
      <c r="A309" s="66"/>
      <c r="B309" s="113" t="s">
        <v>495</v>
      </c>
      <c r="C309" s="66" t="s">
        <v>496</v>
      </c>
      <c r="D309" s="68" t="s">
        <v>45</v>
      </c>
      <c r="E309" s="64">
        <v>9675</v>
      </c>
      <c r="F309" s="64">
        <v>33.5</v>
      </c>
      <c r="G309" s="64">
        <f t="shared" si="7"/>
        <v>324112.5</v>
      </c>
      <c r="H309" s="81" t="s">
        <v>46</v>
      </c>
      <c r="I309" s="69" t="s">
        <v>497</v>
      </c>
    </row>
    <row r="310" ht="34.05" customHeight="1" spans="1:9">
      <c r="A310" s="116"/>
      <c r="B310" s="121" t="s">
        <v>498</v>
      </c>
      <c r="C310" s="66"/>
      <c r="D310" s="68"/>
      <c r="E310" s="64"/>
      <c r="F310" s="64"/>
      <c r="G310" s="64"/>
      <c r="H310" s="81"/>
      <c r="I310" s="69"/>
    </row>
    <row r="311" ht="34.05" customHeight="1" spans="1:9">
      <c r="A311" s="66"/>
      <c r="B311" s="113"/>
      <c r="C311" s="66" t="s">
        <v>499</v>
      </c>
      <c r="D311" s="68" t="s">
        <v>291</v>
      </c>
      <c r="E311" s="64">
        <v>1</v>
      </c>
      <c r="F311" s="64">
        <v>66150</v>
      </c>
      <c r="G311" s="64">
        <f t="shared" si="7"/>
        <v>66150</v>
      </c>
      <c r="H311" s="81" t="s">
        <v>46</v>
      </c>
      <c r="I311" s="69" t="s">
        <v>500</v>
      </c>
    </row>
    <row r="312" ht="34.05" customHeight="1" spans="1:9">
      <c r="A312" s="116"/>
      <c r="B312" s="121" t="s">
        <v>501</v>
      </c>
      <c r="C312" s="66"/>
      <c r="D312" s="68" t="s">
        <v>502</v>
      </c>
      <c r="E312" s="64"/>
      <c r="F312" s="64"/>
      <c r="G312" s="64"/>
      <c r="H312" s="81"/>
      <c r="I312" s="69"/>
    </row>
    <row r="313" ht="30" customHeight="1" spans="1:9">
      <c r="A313" s="66"/>
      <c r="B313" s="113"/>
      <c r="C313" s="99" t="s">
        <v>165</v>
      </c>
      <c r="D313" s="68" t="s">
        <v>45</v>
      </c>
      <c r="E313" s="64">
        <f>0.4*0.4*96*0.58</f>
        <v>8.9088</v>
      </c>
      <c r="F313" s="64">
        <v>10</v>
      </c>
      <c r="G313" s="64">
        <f t="shared" si="7"/>
        <v>89.088</v>
      </c>
      <c r="H313" s="81" t="s">
        <v>46</v>
      </c>
      <c r="I313" s="69"/>
    </row>
    <row r="314" ht="21" customHeight="1" spans="1:9">
      <c r="A314" s="66"/>
      <c r="B314" s="113"/>
      <c r="C314" s="66" t="s">
        <v>144</v>
      </c>
      <c r="D314" s="68" t="s">
        <v>39</v>
      </c>
      <c r="E314" s="64">
        <f>0.4*0.4*96</f>
        <v>15.36</v>
      </c>
      <c r="F314" s="64">
        <v>2.5</v>
      </c>
      <c r="G314" s="64">
        <f t="shared" si="7"/>
        <v>38.4</v>
      </c>
      <c r="H314" s="81" t="s">
        <v>46</v>
      </c>
      <c r="I314" s="69"/>
    </row>
    <row r="315" ht="21" customHeight="1" spans="1:9">
      <c r="A315" s="66"/>
      <c r="B315" s="113"/>
      <c r="C315" s="66" t="s">
        <v>67</v>
      </c>
      <c r="D315" s="68" t="s">
        <v>45</v>
      </c>
      <c r="E315" s="64">
        <f>E314*0.1</f>
        <v>1.536</v>
      </c>
      <c r="F315" s="64">
        <v>110</v>
      </c>
      <c r="G315" s="64">
        <f t="shared" si="7"/>
        <v>168.96</v>
      </c>
      <c r="H315" s="81" t="s">
        <v>46</v>
      </c>
      <c r="I315" s="69"/>
    </row>
    <row r="316" ht="21" customHeight="1" spans="1:9">
      <c r="A316" s="66"/>
      <c r="B316" s="113"/>
      <c r="C316" s="66" t="s">
        <v>277</v>
      </c>
      <c r="D316" s="68" t="s">
        <v>45</v>
      </c>
      <c r="E316" s="64">
        <f>E314*0.1</f>
        <v>1.536</v>
      </c>
      <c r="F316" s="64">
        <v>370</v>
      </c>
      <c r="G316" s="64">
        <f t="shared" si="7"/>
        <v>568.32</v>
      </c>
      <c r="H316" s="81" t="s">
        <v>46</v>
      </c>
      <c r="I316" s="69"/>
    </row>
    <row r="317" ht="21" customHeight="1" spans="1:9">
      <c r="A317" s="66"/>
      <c r="B317" s="113"/>
      <c r="C317" s="66" t="s">
        <v>503</v>
      </c>
      <c r="D317" s="68" t="s">
        <v>45</v>
      </c>
      <c r="E317" s="64">
        <f>0.2*0.2*0.3*96</f>
        <v>1.152</v>
      </c>
      <c r="F317" s="64">
        <v>490</v>
      </c>
      <c r="G317" s="64">
        <f t="shared" si="7"/>
        <v>564.48</v>
      </c>
      <c r="H317" s="81" t="s">
        <v>46</v>
      </c>
      <c r="I317" s="69"/>
    </row>
    <row r="318" ht="21" customHeight="1" spans="1:9">
      <c r="A318" s="66"/>
      <c r="B318" s="113"/>
      <c r="C318" s="66" t="s">
        <v>283</v>
      </c>
      <c r="D318" s="68" t="s">
        <v>160</v>
      </c>
      <c r="E318" s="64">
        <f>0.3*2*2*0.617/1000*96</f>
        <v>0.0710784</v>
      </c>
      <c r="F318" s="64">
        <v>4900</v>
      </c>
      <c r="G318" s="64">
        <f t="shared" si="7"/>
        <v>348.28416</v>
      </c>
      <c r="H318" s="81" t="s">
        <v>46</v>
      </c>
      <c r="I318" s="69"/>
    </row>
    <row r="319" ht="28" customHeight="1" spans="1:9">
      <c r="A319" s="66"/>
      <c r="B319" s="113"/>
      <c r="C319" s="66" t="s">
        <v>504</v>
      </c>
      <c r="D319" s="68" t="s">
        <v>160</v>
      </c>
      <c r="E319" s="64">
        <f>0.15*0.15*0.005*7.85*96</f>
        <v>0.08478</v>
      </c>
      <c r="F319" s="64">
        <v>0</v>
      </c>
      <c r="G319" s="64">
        <f t="shared" si="7"/>
        <v>0</v>
      </c>
      <c r="H319" s="81" t="s">
        <v>211</v>
      </c>
      <c r="I319" s="69"/>
    </row>
    <row r="320" ht="35" customHeight="1" spans="1:9">
      <c r="A320" s="66"/>
      <c r="B320" s="113"/>
      <c r="C320" s="66" t="s">
        <v>505</v>
      </c>
      <c r="D320" s="68" t="s">
        <v>160</v>
      </c>
      <c r="E320" s="64">
        <f>12.56*77.6/1000</f>
        <v>0.974656</v>
      </c>
      <c r="F320" s="64">
        <v>0</v>
      </c>
      <c r="G320" s="64">
        <f t="shared" si="7"/>
        <v>0</v>
      </c>
      <c r="H320" s="81" t="s">
        <v>211</v>
      </c>
      <c r="I320" s="69"/>
    </row>
    <row r="321" ht="33" customHeight="1" spans="1:9">
      <c r="A321" s="66"/>
      <c r="B321" s="113"/>
      <c r="C321" s="66" t="s">
        <v>506</v>
      </c>
      <c r="D321" s="68" t="s">
        <v>160</v>
      </c>
      <c r="E321" s="64">
        <f>7.065*(77.6+2.1*96)/1000</f>
        <v>1.972548</v>
      </c>
      <c r="F321" s="64">
        <v>0</v>
      </c>
      <c r="G321" s="64">
        <f t="shared" si="7"/>
        <v>0</v>
      </c>
      <c r="H321" s="81" t="s">
        <v>211</v>
      </c>
      <c r="I321" s="69"/>
    </row>
    <row r="322" ht="37" customHeight="1" spans="1:9">
      <c r="A322" s="66"/>
      <c r="B322" s="113"/>
      <c r="C322" s="66" t="s">
        <v>507</v>
      </c>
      <c r="D322" s="68" t="s">
        <v>160</v>
      </c>
      <c r="E322" s="64">
        <f>2.072*5.7*96/1000</f>
        <v>1.1337984</v>
      </c>
      <c r="F322" s="64">
        <v>0</v>
      </c>
      <c r="G322" s="64">
        <f t="shared" si="7"/>
        <v>0</v>
      </c>
      <c r="H322" s="81" t="s">
        <v>211</v>
      </c>
      <c r="I322" s="69"/>
    </row>
    <row r="323" ht="34.05" customHeight="1" spans="1:9">
      <c r="A323" s="66"/>
      <c r="B323" s="113"/>
      <c r="C323" s="66" t="s">
        <v>508</v>
      </c>
      <c r="D323" s="68" t="s">
        <v>39</v>
      </c>
      <c r="E323" s="64">
        <f>1.4626*96</f>
        <v>140.4096</v>
      </c>
      <c r="F323" s="64">
        <v>0</v>
      </c>
      <c r="G323" s="64">
        <f t="shared" si="7"/>
        <v>0</v>
      </c>
      <c r="H323" s="81" t="s">
        <v>211</v>
      </c>
      <c r="I323" s="69" t="s">
        <v>509</v>
      </c>
    </row>
    <row r="324" ht="34.05" customHeight="1" spans="1:9">
      <c r="A324" s="66"/>
      <c r="B324" s="113"/>
      <c r="C324" s="66" t="s">
        <v>510</v>
      </c>
      <c r="D324" s="68" t="s">
        <v>39</v>
      </c>
      <c r="E324" s="64">
        <f>77.6*2.2</f>
        <v>170.72</v>
      </c>
      <c r="F324" s="64">
        <v>0</v>
      </c>
      <c r="G324" s="64">
        <f t="shared" si="7"/>
        <v>0</v>
      </c>
      <c r="H324" s="81" t="s">
        <v>211</v>
      </c>
      <c r="I324" s="69" t="s">
        <v>511</v>
      </c>
    </row>
    <row r="325" ht="34.05" customHeight="1" spans="1:9">
      <c r="A325" s="66"/>
      <c r="B325" s="113"/>
      <c r="C325" s="66" t="s">
        <v>512</v>
      </c>
      <c r="D325" s="68" t="s">
        <v>39</v>
      </c>
      <c r="E325" s="64">
        <f>77.6*2.2</f>
        <v>170.72</v>
      </c>
      <c r="F325" s="64">
        <v>0</v>
      </c>
      <c r="G325" s="64">
        <f t="shared" si="7"/>
        <v>0</v>
      </c>
      <c r="H325" s="81" t="s">
        <v>211</v>
      </c>
      <c r="I325" s="69" t="s">
        <v>511</v>
      </c>
    </row>
    <row r="326" ht="29" customHeight="1" spans="1:9">
      <c r="A326" s="66"/>
      <c r="B326" s="77"/>
      <c r="C326" s="66"/>
      <c r="D326" s="67"/>
      <c r="E326" s="64"/>
      <c r="F326" s="125"/>
      <c r="G326" s="125">
        <f>SUM(G4:G325)</f>
        <v>2211486.61017463</v>
      </c>
      <c r="H326" s="125"/>
      <c r="I326" s="69"/>
    </row>
  </sheetData>
  <sheetProtection password="C71F" sheet="1" objects="1"/>
  <autoFilter ref="A2:L326">
    <extLst/>
  </autoFilter>
  <mergeCells count="8">
    <mergeCell ref="A1:I1"/>
    <mergeCell ref="A35:A45"/>
    <mergeCell ref="A48:A58"/>
    <mergeCell ref="B35:B39"/>
    <mergeCell ref="B40:B45"/>
    <mergeCell ref="B48:B58"/>
    <mergeCell ref="B60:B64"/>
    <mergeCell ref="B65:B70"/>
  </mergeCells>
  <pageMargins left="0.75" right="0.75" top="1" bottom="1" header="0.511805555555556" footer="0.511805555555556"/>
  <pageSetup paperSize="9" orientation="portrait"/>
  <headerFooter alignWithMargins="0" scaleWithDoc="0"/>
  <ignoredErrors>
    <ignoredError sqref="E188 E218 E259" formula="1"/>
  </ignoredError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workbookViewId="0">
      <pane ySplit="2" topLeftCell="A12" activePane="bottomLeft" state="frozen"/>
      <selection/>
      <selection pane="bottomLeft" activeCell="I23" sqref="I23"/>
    </sheetView>
  </sheetViews>
  <sheetFormatPr defaultColWidth="9" defaultRowHeight="13.5" outlineLevelCol="6"/>
  <cols>
    <col min="1" max="1" width="6.73333333333333" style="57" customWidth="1"/>
    <col min="2" max="2" width="40.4" style="58" customWidth="1"/>
    <col min="3" max="3" width="8.75" style="59" customWidth="1"/>
    <col min="4" max="4" width="11.4666666666667" style="60" customWidth="1"/>
    <col min="5" max="5" width="15.625" style="60" customWidth="1"/>
    <col min="6" max="6" width="15.5" style="60" customWidth="1"/>
    <col min="7" max="7" width="11.25" style="61" customWidth="1"/>
    <col min="8" max="8" width="12.625" style="62"/>
    <col min="9" max="9" width="9" style="62"/>
    <col min="10" max="10" width="28.9333333333333" style="62" customWidth="1"/>
    <col min="11" max="16384" width="9" style="62"/>
  </cols>
  <sheetData>
    <row r="1" ht="36" customHeight="1" spans="1:7">
      <c r="A1" s="4" t="s">
        <v>513</v>
      </c>
      <c r="B1" s="4"/>
      <c r="C1" s="4"/>
      <c r="D1" s="4"/>
      <c r="E1" s="4"/>
      <c r="F1" s="4"/>
      <c r="G1" s="4"/>
    </row>
    <row r="2" ht="32" customHeight="1" spans="1:7">
      <c r="A2" s="63" t="s">
        <v>1</v>
      </c>
      <c r="B2" s="63" t="s">
        <v>27</v>
      </c>
      <c r="C2" s="63" t="s">
        <v>147</v>
      </c>
      <c r="D2" s="64" t="s">
        <v>29</v>
      </c>
      <c r="E2" s="7" t="s">
        <v>30</v>
      </c>
      <c r="F2" s="7" t="s">
        <v>31</v>
      </c>
      <c r="G2" s="63" t="s">
        <v>6</v>
      </c>
    </row>
    <row r="3" ht="26" customHeight="1" spans="1:7">
      <c r="A3" s="63"/>
      <c r="B3" s="65" t="s">
        <v>514</v>
      </c>
      <c r="C3" s="63"/>
      <c r="D3" s="64"/>
      <c r="E3" s="21"/>
      <c r="F3" s="21"/>
      <c r="G3" s="63"/>
    </row>
    <row r="4" ht="24" customHeight="1" spans="1:7">
      <c r="A4" s="63">
        <v>1</v>
      </c>
      <c r="B4" s="66" t="s">
        <v>165</v>
      </c>
      <c r="C4" s="67" t="s">
        <v>515</v>
      </c>
      <c r="D4" s="64">
        <f>1.05*(0.88+0.6)*(1.04+3.95)*137</f>
        <v>1062.36102</v>
      </c>
      <c r="E4" s="64">
        <v>5</v>
      </c>
      <c r="F4" s="64">
        <f>D4*E4</f>
        <v>5311.8051</v>
      </c>
      <c r="G4" s="63" t="s">
        <v>46</v>
      </c>
    </row>
    <row r="5" ht="24" customHeight="1" spans="1:7">
      <c r="A5" s="63">
        <v>2</v>
      </c>
      <c r="B5" s="66" t="s">
        <v>204</v>
      </c>
      <c r="C5" s="67" t="s">
        <v>515</v>
      </c>
      <c r="D5" s="64">
        <f>(D4-D7-D8-D9)</f>
        <v>751.172644</v>
      </c>
      <c r="E5" s="64">
        <v>8</v>
      </c>
      <c r="F5" s="64">
        <f t="shared" ref="F5:F26" si="0">D5*E5</f>
        <v>6009.381152</v>
      </c>
      <c r="G5" s="63" t="s">
        <v>46</v>
      </c>
    </row>
    <row r="6" ht="24" customHeight="1" spans="1:7">
      <c r="A6" s="63">
        <v>3</v>
      </c>
      <c r="B6" s="66" t="s">
        <v>189</v>
      </c>
      <c r="C6" s="67" t="s">
        <v>516</v>
      </c>
      <c r="D6" s="64">
        <f>0.88*(1.04+3.95)*137</f>
        <v>601.5944</v>
      </c>
      <c r="E6" s="64">
        <v>2.5</v>
      </c>
      <c r="F6" s="64">
        <f t="shared" si="0"/>
        <v>1503.986</v>
      </c>
      <c r="G6" s="63" t="s">
        <v>46</v>
      </c>
    </row>
    <row r="7" ht="24" customHeight="1" spans="1:7">
      <c r="A7" s="63">
        <v>4</v>
      </c>
      <c r="B7" s="66" t="s">
        <v>47</v>
      </c>
      <c r="C7" s="67" t="s">
        <v>45</v>
      </c>
      <c r="D7" s="64">
        <f>0.88*(1.04+3.95)*0.15*137</f>
        <v>90.23916</v>
      </c>
      <c r="E7" s="64">
        <v>110</v>
      </c>
      <c r="F7" s="64">
        <f t="shared" si="0"/>
        <v>9926.3076</v>
      </c>
      <c r="G7" s="63" t="s">
        <v>46</v>
      </c>
    </row>
    <row r="8" ht="24" customHeight="1" spans="1:7">
      <c r="A8" s="63">
        <v>5</v>
      </c>
      <c r="B8" s="66" t="s">
        <v>168</v>
      </c>
      <c r="C8" s="67" t="s">
        <v>515</v>
      </c>
      <c r="D8" s="64">
        <f>0.88*(1.04+3.95)*0.1*137</f>
        <v>60.15944</v>
      </c>
      <c r="E8" s="64">
        <v>370</v>
      </c>
      <c r="F8" s="64">
        <f t="shared" si="0"/>
        <v>22258.9928</v>
      </c>
      <c r="G8" s="63" t="s">
        <v>46</v>
      </c>
    </row>
    <row r="9" ht="24" customHeight="1" spans="1:7">
      <c r="A9" s="63">
        <v>6</v>
      </c>
      <c r="B9" s="66" t="s">
        <v>517</v>
      </c>
      <c r="C9" s="68" t="s">
        <v>45</v>
      </c>
      <c r="D9" s="64">
        <f>(0.12*0.48+0.12*0.36+0.56*0.24)*4.99*137</f>
        <v>160.789776</v>
      </c>
      <c r="E9" s="64">
        <v>570</v>
      </c>
      <c r="F9" s="64">
        <f t="shared" si="0"/>
        <v>91650.17232</v>
      </c>
      <c r="G9" s="63" t="s">
        <v>46</v>
      </c>
    </row>
    <row r="10" ht="24" customHeight="1" spans="1:7">
      <c r="A10" s="63">
        <v>7</v>
      </c>
      <c r="B10" s="66" t="s">
        <v>518</v>
      </c>
      <c r="C10" s="68" t="s">
        <v>45</v>
      </c>
      <c r="D10" s="64">
        <f>(0.45*0.24*1.04+0.25*0.24*3.95+(2.1-0.45)*0.24*1.04-1.33*0.4*0.24)*137</f>
        <v>86.78676</v>
      </c>
      <c r="E10" s="64">
        <v>570</v>
      </c>
      <c r="F10" s="64">
        <f t="shared" si="0"/>
        <v>49468.4532</v>
      </c>
      <c r="G10" s="63" t="s">
        <v>46</v>
      </c>
    </row>
    <row r="11" ht="24" customHeight="1" spans="1:7">
      <c r="A11" s="63">
        <v>8</v>
      </c>
      <c r="B11" s="66" t="s">
        <v>519</v>
      </c>
      <c r="C11" s="67" t="s">
        <v>516</v>
      </c>
      <c r="D11" s="64">
        <f>0.24*4.99*137</f>
        <v>164.0712</v>
      </c>
      <c r="E11" s="64">
        <v>22</v>
      </c>
      <c r="F11" s="64">
        <f t="shared" si="0"/>
        <v>3609.5664</v>
      </c>
      <c r="G11" s="63" t="s">
        <v>46</v>
      </c>
    </row>
    <row r="12" ht="24" customHeight="1" spans="1:7">
      <c r="A12" s="63">
        <v>9</v>
      </c>
      <c r="B12" s="66" t="s">
        <v>520</v>
      </c>
      <c r="C12" s="67" t="s">
        <v>516</v>
      </c>
      <c r="D12" s="64">
        <f>0.36*4.99*2*137</f>
        <v>492.2136</v>
      </c>
      <c r="E12" s="64">
        <v>72</v>
      </c>
      <c r="F12" s="64">
        <f t="shared" si="0"/>
        <v>35439.3792</v>
      </c>
      <c r="G12" s="63" t="s">
        <v>51</v>
      </c>
    </row>
    <row r="13" ht="24" customHeight="1" spans="1:7">
      <c r="A13" s="63">
        <v>10</v>
      </c>
      <c r="B13" s="66" t="s">
        <v>521</v>
      </c>
      <c r="C13" s="67" t="s">
        <v>516</v>
      </c>
      <c r="D13" s="64">
        <f>0.03*4.99*2*137</f>
        <v>41.0178</v>
      </c>
      <c r="E13" s="64">
        <v>72</v>
      </c>
      <c r="F13" s="64">
        <f t="shared" si="0"/>
        <v>2953.2816</v>
      </c>
      <c r="G13" s="63" t="s">
        <v>51</v>
      </c>
    </row>
    <row r="14" ht="24" customHeight="1" spans="1:7">
      <c r="A14" s="63">
        <v>11</v>
      </c>
      <c r="B14" s="66" t="s">
        <v>522</v>
      </c>
      <c r="C14" s="67" t="s">
        <v>516</v>
      </c>
      <c r="D14" s="64">
        <f>0.32*4.9*137</f>
        <v>214.816</v>
      </c>
      <c r="E14" s="64">
        <v>72</v>
      </c>
      <c r="F14" s="64">
        <f t="shared" si="0"/>
        <v>15466.752</v>
      </c>
      <c r="G14" s="63" t="s">
        <v>51</v>
      </c>
    </row>
    <row r="15" ht="24" customHeight="1" spans="1:7">
      <c r="A15" s="63">
        <v>12</v>
      </c>
      <c r="B15" s="66" t="s">
        <v>523</v>
      </c>
      <c r="C15" s="67" t="s">
        <v>45</v>
      </c>
      <c r="D15" s="64">
        <f>(0.11*0.24*3.95+0.12*0.12*0.15*4)*137</f>
        <v>15.47004</v>
      </c>
      <c r="E15" s="64">
        <v>540</v>
      </c>
      <c r="F15" s="64">
        <f t="shared" si="0"/>
        <v>8353.8216</v>
      </c>
      <c r="G15" s="63" t="s">
        <v>46</v>
      </c>
    </row>
    <row r="16" ht="34" customHeight="1" spans="1:7">
      <c r="A16" s="63">
        <v>13</v>
      </c>
      <c r="B16" s="66" t="s">
        <v>524</v>
      </c>
      <c r="C16" s="67" t="s">
        <v>160</v>
      </c>
      <c r="D16" s="64">
        <v>1.09</v>
      </c>
      <c r="E16" s="64">
        <v>5700</v>
      </c>
      <c r="F16" s="64">
        <f t="shared" si="0"/>
        <v>6213</v>
      </c>
      <c r="G16" s="63" t="s">
        <v>46</v>
      </c>
    </row>
    <row r="17" ht="24" customHeight="1" spans="1:7">
      <c r="A17" s="63">
        <v>14</v>
      </c>
      <c r="B17" s="66" t="s">
        <v>525</v>
      </c>
      <c r="C17" s="67" t="s">
        <v>516</v>
      </c>
      <c r="D17" s="64">
        <f>1.04*0.22*2*137</f>
        <v>62.6912</v>
      </c>
      <c r="E17" s="64">
        <v>72</v>
      </c>
      <c r="F17" s="64">
        <f t="shared" si="0"/>
        <v>4513.7664</v>
      </c>
      <c r="G17" s="63" t="s">
        <v>51</v>
      </c>
    </row>
    <row r="18" ht="24" customHeight="1" spans="1:7">
      <c r="A18" s="63">
        <v>15</v>
      </c>
      <c r="B18" s="66" t="s">
        <v>526</v>
      </c>
      <c r="C18" s="67" t="s">
        <v>516</v>
      </c>
      <c r="D18" s="64">
        <f>1.43*0.22*2*2*137</f>
        <v>172.4008</v>
      </c>
      <c r="E18" s="64">
        <v>72</v>
      </c>
      <c r="F18" s="64">
        <f t="shared" si="0"/>
        <v>12412.8576</v>
      </c>
      <c r="G18" s="63" t="s">
        <v>51</v>
      </c>
    </row>
    <row r="19" ht="24" customHeight="1" spans="1:7">
      <c r="A19" s="63">
        <v>16</v>
      </c>
      <c r="B19" s="66" t="s">
        <v>527</v>
      </c>
      <c r="C19" s="67" t="s">
        <v>516</v>
      </c>
      <c r="D19" s="64">
        <f>(0.6*1.43-0.4*1.33)*2*137</f>
        <v>89.324</v>
      </c>
      <c r="E19" s="64">
        <v>72</v>
      </c>
      <c r="F19" s="64">
        <f t="shared" si="0"/>
        <v>6431.328</v>
      </c>
      <c r="G19" s="63" t="s">
        <v>51</v>
      </c>
    </row>
    <row r="20" s="56" customFormat="1" ht="24" customHeight="1" spans="1:7">
      <c r="A20" s="63">
        <v>17</v>
      </c>
      <c r="B20" s="69" t="s">
        <v>528</v>
      </c>
      <c r="C20" s="70" t="s">
        <v>35</v>
      </c>
      <c r="D20" s="71">
        <f>3.95*137</f>
        <v>541.15</v>
      </c>
      <c r="E20" s="64">
        <v>0</v>
      </c>
      <c r="F20" s="64">
        <f t="shared" si="0"/>
        <v>0</v>
      </c>
      <c r="G20" s="63" t="s">
        <v>36</v>
      </c>
    </row>
    <row r="21" ht="24" customHeight="1" spans="1:7">
      <c r="A21" s="63">
        <v>18</v>
      </c>
      <c r="B21" s="66" t="s">
        <v>529</v>
      </c>
      <c r="C21" s="68" t="s">
        <v>45</v>
      </c>
      <c r="D21" s="64">
        <f>0.24*0.24*0.6*137</f>
        <v>4.73472</v>
      </c>
      <c r="E21" s="64">
        <v>570</v>
      </c>
      <c r="F21" s="64">
        <f t="shared" si="0"/>
        <v>2698.7904</v>
      </c>
      <c r="G21" s="63" t="s">
        <v>46</v>
      </c>
    </row>
    <row r="22" ht="24" customHeight="1" spans="1:7">
      <c r="A22" s="63"/>
      <c r="B22" s="65" t="s">
        <v>530</v>
      </c>
      <c r="C22" s="68"/>
      <c r="D22" s="64"/>
      <c r="E22" s="64"/>
      <c r="F22" s="64"/>
      <c r="G22" s="63"/>
    </row>
    <row r="23" ht="24" customHeight="1" spans="1:7">
      <c r="A23" s="63">
        <v>19</v>
      </c>
      <c r="B23" s="66" t="s">
        <v>165</v>
      </c>
      <c r="C23" s="67" t="s">
        <v>45</v>
      </c>
      <c r="D23" s="64">
        <f>(1.3*0.5)*63.5+(1.3*1.4)*528.1</f>
        <v>1002.417</v>
      </c>
      <c r="E23" s="64">
        <v>5</v>
      </c>
      <c r="F23" s="64">
        <f>D23*E23</f>
        <v>5012.085</v>
      </c>
      <c r="G23" s="63" t="s">
        <v>46</v>
      </c>
    </row>
    <row r="24" ht="24" customHeight="1" spans="1:7">
      <c r="A24" s="63">
        <v>20</v>
      </c>
      <c r="B24" s="66" t="s">
        <v>204</v>
      </c>
      <c r="C24" s="67" t="s">
        <v>45</v>
      </c>
      <c r="D24" s="64">
        <f>D23-D25-D26</f>
        <v>522.70845</v>
      </c>
      <c r="E24" s="64">
        <v>8</v>
      </c>
      <c r="F24" s="64">
        <f>D24*E24</f>
        <v>4181.6676</v>
      </c>
      <c r="G24" s="63" t="s">
        <v>46</v>
      </c>
    </row>
    <row r="25" ht="24" customHeight="1" spans="1:7">
      <c r="A25" s="63">
        <v>21</v>
      </c>
      <c r="B25" s="66" t="s">
        <v>168</v>
      </c>
      <c r="C25" s="67" t="s">
        <v>45</v>
      </c>
      <c r="D25" s="64">
        <f>1.3*0.1*(63.5+528.1)</f>
        <v>76.908</v>
      </c>
      <c r="E25" s="64">
        <v>370</v>
      </c>
      <c r="F25" s="64">
        <f>D25*E25</f>
        <v>28455.96</v>
      </c>
      <c r="G25" s="63" t="s">
        <v>46</v>
      </c>
    </row>
    <row r="26" ht="24" customHeight="1" spans="1:7">
      <c r="A26" s="63">
        <v>22</v>
      </c>
      <c r="B26" s="66" t="s">
        <v>531</v>
      </c>
      <c r="C26" s="67" t="s">
        <v>45</v>
      </c>
      <c r="D26" s="64">
        <f>(1.1*0.34+0.255*0.4)*63.5+(1.1*0.34+0.255*1.3)*528.1</f>
        <v>402.80055</v>
      </c>
      <c r="E26" s="64">
        <v>800</v>
      </c>
      <c r="F26" s="64">
        <f>D26*E26</f>
        <v>322240.44</v>
      </c>
      <c r="G26" s="63" t="s">
        <v>46</v>
      </c>
    </row>
    <row r="27" ht="32" customHeight="1" spans="1:7">
      <c r="A27" s="63">
        <v>23</v>
      </c>
      <c r="B27" s="66" t="s">
        <v>532</v>
      </c>
      <c r="C27" s="67" t="s">
        <v>39</v>
      </c>
      <c r="D27" s="64">
        <f>0.5*63.5+1.4*528.1</f>
        <v>771.09</v>
      </c>
      <c r="E27" s="64">
        <v>72</v>
      </c>
      <c r="F27" s="64">
        <f>D27*E27</f>
        <v>55518.48</v>
      </c>
      <c r="G27" s="63" t="s">
        <v>51</v>
      </c>
    </row>
    <row r="28" ht="24" customHeight="1" spans="1:7">
      <c r="A28" s="63"/>
      <c r="B28" s="66"/>
      <c r="C28" s="68"/>
      <c r="D28" s="64"/>
      <c r="E28" s="8"/>
      <c r="F28" s="8">
        <f>SUM(F4:F27)</f>
        <v>699630.273972</v>
      </c>
      <c r="G28" s="63"/>
    </row>
  </sheetData>
  <sheetProtection password="C71F" sheet="1" objects="1"/>
  <autoFilter ref="A2:K28">
    <extLst/>
  </autoFilter>
  <mergeCells count="1">
    <mergeCell ref="A1:G1"/>
  </mergeCells>
  <pageMargins left="0.75" right="0.75" top="1" bottom="1" header="0.511805555555556" footer="0.511805555555556"/>
  <pageSetup paperSize="9" orientation="portrait"/>
  <headerFooter alignWithMargins="0" scaleWithDoc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4"/>
  <sheetViews>
    <sheetView workbookViewId="0">
      <pane ySplit="3" topLeftCell="A4" activePane="bottomLeft" state="frozen"/>
      <selection/>
      <selection pane="bottomLeft" activeCell="P16" sqref="P16"/>
    </sheetView>
  </sheetViews>
  <sheetFormatPr defaultColWidth="8" defaultRowHeight="12.75"/>
  <cols>
    <col min="1" max="1" width="5.86666666666667" style="22"/>
    <col min="2" max="3" width="11.1333333333333" style="22"/>
    <col min="4" max="4" width="10" style="23" customWidth="1"/>
    <col min="5" max="7" width="5.86666666666667" style="22"/>
    <col min="8" max="9" width="9.4" style="22"/>
    <col min="10" max="10" width="37.4" style="22" hidden="1" customWidth="1"/>
    <col min="11" max="11" width="13.75" style="24" customWidth="1"/>
    <col min="12" max="12" width="13.125" style="22" customWidth="1"/>
    <col min="13" max="13" width="12.5" style="25" customWidth="1"/>
    <col min="14" max="16384" width="8" style="22"/>
  </cols>
  <sheetData>
    <row r="1" ht="30" customHeight="1" spans="1:13">
      <c r="A1" s="26" t="s">
        <v>533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>
      <c r="A2" s="28" t="s">
        <v>1</v>
      </c>
      <c r="B2" s="28" t="s">
        <v>534</v>
      </c>
      <c r="C2" s="28" t="s">
        <v>535</v>
      </c>
      <c r="D2" s="29" t="s">
        <v>29</v>
      </c>
      <c r="E2" s="28" t="s">
        <v>28</v>
      </c>
      <c r="F2" s="28" t="s">
        <v>536</v>
      </c>
      <c r="G2" s="28"/>
      <c r="H2" s="28"/>
      <c r="I2" s="28"/>
      <c r="J2" s="28" t="s">
        <v>6</v>
      </c>
      <c r="K2" s="34" t="s">
        <v>30</v>
      </c>
      <c r="L2" s="34" t="s">
        <v>31</v>
      </c>
      <c r="M2" s="35" t="s">
        <v>6</v>
      </c>
    </row>
    <row r="3" spans="1:13">
      <c r="A3" s="28"/>
      <c r="B3" s="28"/>
      <c r="C3" s="28"/>
      <c r="D3" s="30"/>
      <c r="E3" s="28"/>
      <c r="F3" s="28" t="s">
        <v>537</v>
      </c>
      <c r="G3" s="28" t="s">
        <v>538</v>
      </c>
      <c r="H3" s="28" t="s">
        <v>539</v>
      </c>
      <c r="I3" s="28" t="s">
        <v>540</v>
      </c>
      <c r="J3" s="28"/>
      <c r="K3" s="36"/>
      <c r="L3" s="36"/>
      <c r="M3" s="37"/>
    </row>
    <row r="4" ht="25.5" customHeight="1" spans="1:13">
      <c r="A4" s="28">
        <v>1</v>
      </c>
      <c r="B4" s="31" t="s">
        <v>541</v>
      </c>
      <c r="C4" s="28" t="s">
        <v>541</v>
      </c>
      <c r="D4" s="30">
        <v>3</v>
      </c>
      <c r="E4" s="28" t="s">
        <v>542</v>
      </c>
      <c r="F4" s="28"/>
      <c r="G4" s="28"/>
      <c r="H4" s="28" t="s">
        <v>543</v>
      </c>
      <c r="I4" s="28" t="s">
        <v>544</v>
      </c>
      <c r="J4" s="28" t="s">
        <v>545</v>
      </c>
      <c r="K4" s="36">
        <v>350</v>
      </c>
      <c r="L4" s="37">
        <f>D4*K4</f>
        <v>1050</v>
      </c>
      <c r="M4" s="35" t="s">
        <v>546</v>
      </c>
    </row>
    <row r="5" ht="25.5" customHeight="1" spans="1:13">
      <c r="A5" s="28">
        <v>2</v>
      </c>
      <c r="B5" s="31" t="s">
        <v>547</v>
      </c>
      <c r="C5" s="31" t="s">
        <v>547</v>
      </c>
      <c r="D5" s="30">
        <v>3</v>
      </c>
      <c r="E5" s="28" t="s">
        <v>542</v>
      </c>
      <c r="F5" s="28"/>
      <c r="G5" s="28">
        <v>20</v>
      </c>
      <c r="H5" s="28" t="s">
        <v>548</v>
      </c>
      <c r="I5" s="28" t="s">
        <v>544</v>
      </c>
      <c r="J5" s="38" t="s">
        <v>549</v>
      </c>
      <c r="K5" s="39">
        <v>260</v>
      </c>
      <c r="L5" s="37">
        <f t="shared" ref="L5:L36" si="0">D5*K5</f>
        <v>780</v>
      </c>
      <c r="M5" s="40" t="s">
        <v>546</v>
      </c>
    </row>
    <row r="6" ht="25.5" customHeight="1" spans="1:13">
      <c r="A6" s="28">
        <v>3</v>
      </c>
      <c r="B6" s="31" t="s">
        <v>550</v>
      </c>
      <c r="C6" s="28" t="s">
        <v>550</v>
      </c>
      <c r="D6" s="30">
        <v>3</v>
      </c>
      <c r="E6" s="28" t="s">
        <v>542</v>
      </c>
      <c r="F6" s="28"/>
      <c r="G6" s="28"/>
      <c r="H6" s="28" t="s">
        <v>551</v>
      </c>
      <c r="I6" s="28" t="s">
        <v>552</v>
      </c>
      <c r="J6" s="38" t="s">
        <v>553</v>
      </c>
      <c r="K6" s="39">
        <v>350</v>
      </c>
      <c r="L6" s="37">
        <f t="shared" si="0"/>
        <v>1050</v>
      </c>
      <c r="M6" s="40" t="s">
        <v>546</v>
      </c>
    </row>
    <row r="7" ht="25.5" customHeight="1" spans="1:13">
      <c r="A7" s="28">
        <v>4</v>
      </c>
      <c r="B7" s="31" t="s">
        <v>554</v>
      </c>
      <c r="C7" s="28" t="s">
        <v>554</v>
      </c>
      <c r="D7" s="30">
        <v>3</v>
      </c>
      <c r="E7" s="28" t="s">
        <v>542</v>
      </c>
      <c r="F7" s="28"/>
      <c r="G7" s="28">
        <v>20</v>
      </c>
      <c r="H7" s="28" t="s">
        <v>555</v>
      </c>
      <c r="I7" s="28" t="s">
        <v>556</v>
      </c>
      <c r="J7" s="38" t="s">
        <v>557</v>
      </c>
      <c r="K7" s="39">
        <v>260</v>
      </c>
      <c r="L7" s="37">
        <f t="shared" si="0"/>
        <v>780</v>
      </c>
      <c r="M7" s="40" t="s">
        <v>546</v>
      </c>
    </row>
    <row r="8" ht="25.5" customHeight="1" spans="1:13">
      <c r="A8" s="28">
        <v>5</v>
      </c>
      <c r="B8" s="31" t="s">
        <v>558</v>
      </c>
      <c r="C8" s="28" t="s">
        <v>558</v>
      </c>
      <c r="D8" s="30">
        <v>5</v>
      </c>
      <c r="E8" s="28" t="s">
        <v>542</v>
      </c>
      <c r="F8" s="28"/>
      <c r="G8" s="28">
        <v>22</v>
      </c>
      <c r="H8" s="28" t="s">
        <v>555</v>
      </c>
      <c r="I8" s="28" t="s">
        <v>544</v>
      </c>
      <c r="J8" s="38" t="s">
        <v>559</v>
      </c>
      <c r="K8" s="39">
        <v>280</v>
      </c>
      <c r="L8" s="37">
        <f t="shared" si="0"/>
        <v>1400</v>
      </c>
      <c r="M8" s="40" t="s">
        <v>546</v>
      </c>
    </row>
    <row r="9" ht="25.5" customHeight="1" spans="1:13">
      <c r="A9" s="28">
        <v>6</v>
      </c>
      <c r="B9" s="31" t="s">
        <v>560</v>
      </c>
      <c r="C9" s="28" t="s">
        <v>561</v>
      </c>
      <c r="D9" s="30">
        <v>5</v>
      </c>
      <c r="E9" s="28" t="s">
        <v>542</v>
      </c>
      <c r="F9" s="28"/>
      <c r="G9" s="28">
        <v>28</v>
      </c>
      <c r="H9" s="28" t="s">
        <v>552</v>
      </c>
      <c r="I9" s="28" t="s">
        <v>562</v>
      </c>
      <c r="J9" s="38" t="s">
        <v>563</v>
      </c>
      <c r="K9" s="39">
        <v>350</v>
      </c>
      <c r="L9" s="37">
        <f t="shared" si="0"/>
        <v>1750</v>
      </c>
      <c r="M9" s="40" t="s">
        <v>546</v>
      </c>
    </row>
    <row r="10" ht="25.5" customHeight="1" spans="1:13">
      <c r="A10" s="28">
        <v>7</v>
      </c>
      <c r="B10" s="31" t="s">
        <v>564</v>
      </c>
      <c r="C10" s="28" t="s">
        <v>565</v>
      </c>
      <c r="D10" s="30">
        <v>16</v>
      </c>
      <c r="E10" s="28" t="s">
        <v>542</v>
      </c>
      <c r="F10" s="28"/>
      <c r="G10" s="28">
        <v>25</v>
      </c>
      <c r="H10" s="28" t="s">
        <v>543</v>
      </c>
      <c r="I10" s="28" t="s">
        <v>566</v>
      </c>
      <c r="J10" s="38" t="s">
        <v>567</v>
      </c>
      <c r="K10" s="39">
        <v>320</v>
      </c>
      <c r="L10" s="37">
        <f t="shared" si="0"/>
        <v>5120</v>
      </c>
      <c r="M10" s="40" t="s">
        <v>546</v>
      </c>
    </row>
    <row r="11" ht="25.5" customHeight="1" spans="1:13">
      <c r="A11" s="28">
        <v>8</v>
      </c>
      <c r="B11" s="31" t="s">
        <v>568</v>
      </c>
      <c r="C11" s="28" t="s">
        <v>569</v>
      </c>
      <c r="D11" s="32">
        <v>48</v>
      </c>
      <c r="E11" s="28" t="s">
        <v>542</v>
      </c>
      <c r="F11" s="28"/>
      <c r="G11" s="28">
        <v>20</v>
      </c>
      <c r="H11" s="28" t="s">
        <v>570</v>
      </c>
      <c r="I11" s="28" t="s">
        <v>556</v>
      </c>
      <c r="J11" s="38" t="s">
        <v>571</v>
      </c>
      <c r="K11" s="39">
        <v>260</v>
      </c>
      <c r="L11" s="37">
        <f t="shared" si="0"/>
        <v>12480</v>
      </c>
      <c r="M11" s="40" t="s">
        <v>546</v>
      </c>
    </row>
    <row r="12" ht="25.5" customHeight="1" spans="1:13">
      <c r="A12" s="28">
        <v>9</v>
      </c>
      <c r="B12" s="31" t="s">
        <v>572</v>
      </c>
      <c r="C12" s="28" t="s">
        <v>573</v>
      </c>
      <c r="D12" s="33">
        <v>23</v>
      </c>
      <c r="E12" s="28" t="s">
        <v>542</v>
      </c>
      <c r="F12" s="28"/>
      <c r="G12" s="28">
        <v>15</v>
      </c>
      <c r="H12" s="28" t="s">
        <v>574</v>
      </c>
      <c r="I12" s="28" t="s">
        <v>575</v>
      </c>
      <c r="J12" s="38" t="s">
        <v>576</v>
      </c>
      <c r="K12" s="39">
        <v>200</v>
      </c>
      <c r="L12" s="37">
        <f t="shared" si="0"/>
        <v>4600</v>
      </c>
      <c r="M12" s="40" t="s">
        <v>546</v>
      </c>
    </row>
    <row r="13" ht="25.5" customHeight="1" spans="1:13">
      <c r="A13" s="28">
        <v>10</v>
      </c>
      <c r="B13" s="31" t="s">
        <v>577</v>
      </c>
      <c r="C13" s="28" t="s">
        <v>578</v>
      </c>
      <c r="D13" s="32">
        <v>7</v>
      </c>
      <c r="E13" s="28" t="s">
        <v>542</v>
      </c>
      <c r="F13" s="28"/>
      <c r="G13" s="28">
        <v>25</v>
      </c>
      <c r="H13" s="28" t="s">
        <v>543</v>
      </c>
      <c r="I13" s="28" t="s">
        <v>579</v>
      </c>
      <c r="J13" s="38" t="s">
        <v>567</v>
      </c>
      <c r="K13" s="39">
        <v>320</v>
      </c>
      <c r="L13" s="37">
        <f t="shared" si="0"/>
        <v>2240</v>
      </c>
      <c r="M13" s="40" t="s">
        <v>546</v>
      </c>
    </row>
    <row r="14" ht="25.5" customHeight="1" spans="1:13">
      <c r="A14" s="28">
        <v>11</v>
      </c>
      <c r="B14" s="28" t="s">
        <v>580</v>
      </c>
      <c r="C14" s="31" t="s">
        <v>581</v>
      </c>
      <c r="D14" s="32">
        <v>16</v>
      </c>
      <c r="E14" s="28" t="s">
        <v>542</v>
      </c>
      <c r="F14" s="28"/>
      <c r="G14" s="28">
        <v>22</v>
      </c>
      <c r="H14" s="28" t="s">
        <v>555</v>
      </c>
      <c r="I14" s="28" t="s">
        <v>556</v>
      </c>
      <c r="J14" s="38" t="s">
        <v>571</v>
      </c>
      <c r="K14" s="39">
        <v>280</v>
      </c>
      <c r="L14" s="37">
        <f t="shared" si="0"/>
        <v>4480</v>
      </c>
      <c r="M14" s="40" t="s">
        <v>546</v>
      </c>
    </row>
    <row r="15" ht="25.5" customHeight="1" spans="1:13">
      <c r="A15" s="28">
        <v>12</v>
      </c>
      <c r="B15" s="31" t="s">
        <v>582</v>
      </c>
      <c r="C15" s="28" t="s">
        <v>582</v>
      </c>
      <c r="D15" s="30">
        <v>1</v>
      </c>
      <c r="E15" s="28" t="s">
        <v>542</v>
      </c>
      <c r="F15" s="28"/>
      <c r="G15" s="28">
        <v>22</v>
      </c>
      <c r="H15" s="28" t="s">
        <v>543</v>
      </c>
      <c r="I15" s="28" t="s">
        <v>544</v>
      </c>
      <c r="J15" s="38" t="s">
        <v>583</v>
      </c>
      <c r="K15" s="39">
        <v>280</v>
      </c>
      <c r="L15" s="37">
        <f t="shared" si="0"/>
        <v>280</v>
      </c>
      <c r="M15" s="40" t="s">
        <v>546</v>
      </c>
    </row>
    <row r="16" ht="25.5" customHeight="1" spans="1:13">
      <c r="A16" s="28">
        <v>13</v>
      </c>
      <c r="B16" s="31" t="s">
        <v>584</v>
      </c>
      <c r="C16" s="28" t="s">
        <v>584</v>
      </c>
      <c r="D16" s="30">
        <v>12</v>
      </c>
      <c r="E16" s="28" t="s">
        <v>542</v>
      </c>
      <c r="F16" s="28"/>
      <c r="G16" s="28">
        <v>25</v>
      </c>
      <c r="H16" s="28" t="s">
        <v>548</v>
      </c>
      <c r="I16" s="28" t="s">
        <v>579</v>
      </c>
      <c r="J16" s="38" t="s">
        <v>585</v>
      </c>
      <c r="K16" s="39">
        <v>320</v>
      </c>
      <c r="L16" s="37">
        <f t="shared" si="0"/>
        <v>3840</v>
      </c>
      <c r="M16" s="40" t="s">
        <v>546</v>
      </c>
    </row>
    <row r="17" ht="25.5" customHeight="1" spans="1:13">
      <c r="A17" s="28">
        <v>14</v>
      </c>
      <c r="B17" s="31" t="s">
        <v>586</v>
      </c>
      <c r="C17" s="28" t="s">
        <v>587</v>
      </c>
      <c r="D17" s="30">
        <v>7</v>
      </c>
      <c r="E17" s="28" t="s">
        <v>542</v>
      </c>
      <c r="F17" s="28"/>
      <c r="G17" s="28">
        <v>25</v>
      </c>
      <c r="H17" s="28" t="s">
        <v>543</v>
      </c>
      <c r="I17" s="28" t="s">
        <v>566</v>
      </c>
      <c r="J17" s="38" t="s">
        <v>588</v>
      </c>
      <c r="K17" s="39">
        <v>320</v>
      </c>
      <c r="L17" s="37">
        <f t="shared" si="0"/>
        <v>2240</v>
      </c>
      <c r="M17" s="40" t="s">
        <v>546</v>
      </c>
    </row>
    <row r="18" ht="25.5" customHeight="1" spans="1:13">
      <c r="A18" s="28">
        <v>15</v>
      </c>
      <c r="B18" s="31" t="s">
        <v>589</v>
      </c>
      <c r="C18" s="28" t="s">
        <v>590</v>
      </c>
      <c r="D18" s="30">
        <v>19</v>
      </c>
      <c r="E18" s="28" t="s">
        <v>542</v>
      </c>
      <c r="F18" s="28"/>
      <c r="G18" s="28">
        <v>20</v>
      </c>
      <c r="H18" s="28" t="s">
        <v>548</v>
      </c>
      <c r="I18" s="28" t="s">
        <v>556</v>
      </c>
      <c r="J18" s="38" t="s">
        <v>591</v>
      </c>
      <c r="K18" s="39">
        <v>260</v>
      </c>
      <c r="L18" s="37">
        <f t="shared" si="0"/>
        <v>4940</v>
      </c>
      <c r="M18" s="40" t="s">
        <v>546</v>
      </c>
    </row>
    <row r="19" ht="25.5" customHeight="1" spans="1:13">
      <c r="A19" s="28">
        <v>16</v>
      </c>
      <c r="B19" s="31" t="s">
        <v>592</v>
      </c>
      <c r="C19" s="28" t="s">
        <v>593</v>
      </c>
      <c r="D19" s="30">
        <v>6</v>
      </c>
      <c r="E19" s="28" t="s">
        <v>542</v>
      </c>
      <c r="F19" s="28"/>
      <c r="G19" s="28">
        <v>15</v>
      </c>
      <c r="H19" s="28" t="s">
        <v>594</v>
      </c>
      <c r="I19" s="28" t="s">
        <v>595</v>
      </c>
      <c r="J19" s="38" t="s">
        <v>559</v>
      </c>
      <c r="K19" s="39">
        <v>200</v>
      </c>
      <c r="L19" s="37">
        <f t="shared" si="0"/>
        <v>1200</v>
      </c>
      <c r="M19" s="40" t="s">
        <v>546</v>
      </c>
    </row>
    <row r="20" ht="25.5" customHeight="1" spans="1:13">
      <c r="A20" s="28">
        <v>17</v>
      </c>
      <c r="B20" s="31" t="s">
        <v>596</v>
      </c>
      <c r="C20" s="28" t="s">
        <v>596</v>
      </c>
      <c r="D20" s="32">
        <v>31</v>
      </c>
      <c r="E20" s="28" t="s">
        <v>542</v>
      </c>
      <c r="F20" s="28"/>
      <c r="G20" s="28">
        <v>18</v>
      </c>
      <c r="H20" s="28" t="s">
        <v>574</v>
      </c>
      <c r="I20" s="28" t="s">
        <v>597</v>
      </c>
      <c r="J20" s="38" t="s">
        <v>576</v>
      </c>
      <c r="K20" s="39">
        <v>240</v>
      </c>
      <c r="L20" s="37">
        <f t="shared" si="0"/>
        <v>7440</v>
      </c>
      <c r="M20" s="40" t="s">
        <v>546</v>
      </c>
    </row>
    <row r="21" ht="25.5" customHeight="1" spans="1:13">
      <c r="A21" s="28">
        <v>18</v>
      </c>
      <c r="B21" s="31" t="s">
        <v>598</v>
      </c>
      <c r="C21" s="31" t="s">
        <v>598</v>
      </c>
      <c r="D21" s="30">
        <v>7</v>
      </c>
      <c r="E21" s="28" t="s">
        <v>542</v>
      </c>
      <c r="F21" s="28"/>
      <c r="G21" s="28">
        <v>20</v>
      </c>
      <c r="H21" s="28" t="s">
        <v>548</v>
      </c>
      <c r="I21" s="28" t="s">
        <v>579</v>
      </c>
      <c r="J21" s="38" t="s">
        <v>549</v>
      </c>
      <c r="K21" s="39">
        <v>260</v>
      </c>
      <c r="L21" s="37">
        <f t="shared" si="0"/>
        <v>1820</v>
      </c>
      <c r="M21" s="40" t="s">
        <v>546</v>
      </c>
    </row>
    <row r="22" ht="25.5" customHeight="1" spans="1:13">
      <c r="A22" s="28">
        <v>19</v>
      </c>
      <c r="B22" s="31" t="s">
        <v>599</v>
      </c>
      <c r="C22" s="28" t="s">
        <v>600</v>
      </c>
      <c r="D22" s="30">
        <v>4</v>
      </c>
      <c r="E22" s="28" t="s">
        <v>542</v>
      </c>
      <c r="F22" s="28"/>
      <c r="G22" s="28">
        <v>15</v>
      </c>
      <c r="H22" s="28" t="s">
        <v>574</v>
      </c>
      <c r="I22" s="28" t="s">
        <v>595</v>
      </c>
      <c r="J22" s="38" t="s">
        <v>559</v>
      </c>
      <c r="K22" s="39">
        <v>200</v>
      </c>
      <c r="L22" s="37">
        <f t="shared" si="0"/>
        <v>800</v>
      </c>
      <c r="M22" s="40" t="s">
        <v>546</v>
      </c>
    </row>
    <row r="23" ht="25.5" customHeight="1" spans="1:13">
      <c r="A23" s="28">
        <v>20</v>
      </c>
      <c r="B23" s="31" t="s">
        <v>601</v>
      </c>
      <c r="C23" s="28" t="s">
        <v>601</v>
      </c>
      <c r="D23" s="32">
        <v>36</v>
      </c>
      <c r="E23" s="28" t="s">
        <v>542</v>
      </c>
      <c r="F23" s="28"/>
      <c r="G23" s="28"/>
      <c r="H23" s="28" t="s">
        <v>602</v>
      </c>
      <c r="I23" s="28" t="s">
        <v>543</v>
      </c>
      <c r="J23" s="38" t="s">
        <v>603</v>
      </c>
      <c r="K23" s="39">
        <v>200</v>
      </c>
      <c r="L23" s="37">
        <f t="shared" si="0"/>
        <v>7200</v>
      </c>
      <c r="M23" s="40" t="s">
        <v>546</v>
      </c>
    </row>
    <row r="24" ht="25.5" customHeight="1" spans="1:13">
      <c r="A24" s="28">
        <v>21</v>
      </c>
      <c r="B24" s="31" t="s">
        <v>604</v>
      </c>
      <c r="C24" s="28" t="s">
        <v>605</v>
      </c>
      <c r="D24" s="32">
        <v>48</v>
      </c>
      <c r="E24" s="28" t="s">
        <v>542</v>
      </c>
      <c r="F24" s="28"/>
      <c r="G24" s="28"/>
      <c r="H24" s="28" t="s">
        <v>606</v>
      </c>
      <c r="I24" s="28" t="s">
        <v>607</v>
      </c>
      <c r="J24" s="38" t="s">
        <v>603</v>
      </c>
      <c r="K24" s="39">
        <v>160</v>
      </c>
      <c r="L24" s="37">
        <f t="shared" si="0"/>
        <v>7680</v>
      </c>
      <c r="M24" s="40" t="s">
        <v>546</v>
      </c>
    </row>
    <row r="25" ht="25.5" customHeight="1" spans="1:13">
      <c r="A25" s="28">
        <v>22</v>
      </c>
      <c r="B25" s="28" t="s">
        <v>608</v>
      </c>
      <c r="C25" s="31" t="s">
        <v>609</v>
      </c>
      <c r="D25" s="33">
        <v>14</v>
      </c>
      <c r="E25" s="28" t="s">
        <v>542</v>
      </c>
      <c r="F25" s="28"/>
      <c r="G25" s="28"/>
      <c r="H25" s="28" t="s">
        <v>610</v>
      </c>
      <c r="I25" s="28" t="s">
        <v>611</v>
      </c>
      <c r="J25" s="38" t="s">
        <v>603</v>
      </c>
      <c r="K25" s="39">
        <v>140</v>
      </c>
      <c r="L25" s="37">
        <f t="shared" si="0"/>
        <v>1960</v>
      </c>
      <c r="M25" s="40" t="s">
        <v>546</v>
      </c>
    </row>
    <row r="26" ht="25.5" customHeight="1" spans="1:13">
      <c r="A26" s="28">
        <v>23</v>
      </c>
      <c r="B26" s="28"/>
      <c r="C26" s="31" t="s">
        <v>612</v>
      </c>
      <c r="D26" s="30">
        <v>26</v>
      </c>
      <c r="E26" s="28" t="s">
        <v>542</v>
      </c>
      <c r="F26" s="28"/>
      <c r="G26" s="28"/>
      <c r="H26" s="28" t="s">
        <v>613</v>
      </c>
      <c r="I26" s="28" t="s">
        <v>614</v>
      </c>
      <c r="J26" s="38" t="s">
        <v>603</v>
      </c>
      <c r="K26" s="39">
        <v>140</v>
      </c>
      <c r="L26" s="37">
        <f t="shared" si="0"/>
        <v>3640</v>
      </c>
      <c r="M26" s="40" t="s">
        <v>546</v>
      </c>
    </row>
    <row r="27" ht="25.5" customHeight="1" spans="1:13">
      <c r="A27" s="28">
        <v>24</v>
      </c>
      <c r="B27" s="28" t="s">
        <v>615</v>
      </c>
      <c r="C27" s="31" t="s">
        <v>616</v>
      </c>
      <c r="D27" s="32">
        <v>26</v>
      </c>
      <c r="E27" s="28" t="s">
        <v>542</v>
      </c>
      <c r="F27" s="28"/>
      <c r="G27" s="28">
        <v>15</v>
      </c>
      <c r="H27" s="28" t="s">
        <v>574</v>
      </c>
      <c r="I27" s="28" t="s">
        <v>543</v>
      </c>
      <c r="J27" s="38" t="s">
        <v>559</v>
      </c>
      <c r="K27" s="39">
        <v>200</v>
      </c>
      <c r="L27" s="37">
        <f t="shared" si="0"/>
        <v>5200</v>
      </c>
      <c r="M27" s="40" t="s">
        <v>546</v>
      </c>
    </row>
    <row r="28" ht="25.5" customHeight="1" spans="1:13">
      <c r="A28" s="28">
        <v>25</v>
      </c>
      <c r="B28" s="31" t="s">
        <v>617</v>
      </c>
      <c r="C28" s="28" t="s">
        <v>618</v>
      </c>
      <c r="D28" s="32">
        <v>11</v>
      </c>
      <c r="E28" s="28" t="s">
        <v>542</v>
      </c>
      <c r="F28" s="28"/>
      <c r="G28" s="28">
        <v>10</v>
      </c>
      <c r="H28" s="28" t="s">
        <v>619</v>
      </c>
      <c r="I28" s="28" t="s">
        <v>574</v>
      </c>
      <c r="J28" s="38" t="s">
        <v>620</v>
      </c>
      <c r="K28" s="39">
        <v>140</v>
      </c>
      <c r="L28" s="37">
        <f t="shared" si="0"/>
        <v>1540</v>
      </c>
      <c r="M28" s="40" t="s">
        <v>546</v>
      </c>
    </row>
    <row r="29" ht="25.5" customHeight="1" spans="1:13">
      <c r="A29" s="28">
        <v>26</v>
      </c>
      <c r="B29" s="31" t="s">
        <v>621</v>
      </c>
      <c r="C29" s="28" t="s">
        <v>622</v>
      </c>
      <c r="D29" s="32">
        <v>22</v>
      </c>
      <c r="E29" s="28" t="s">
        <v>542</v>
      </c>
      <c r="F29" s="28">
        <v>15</v>
      </c>
      <c r="G29" s="28"/>
      <c r="H29" s="28" t="s">
        <v>594</v>
      </c>
      <c r="I29" s="28" t="s">
        <v>623</v>
      </c>
      <c r="J29" s="38" t="s">
        <v>624</v>
      </c>
      <c r="K29" s="39">
        <v>150</v>
      </c>
      <c r="L29" s="37">
        <f t="shared" si="0"/>
        <v>3300</v>
      </c>
      <c r="M29" s="40" t="s">
        <v>546</v>
      </c>
    </row>
    <row r="30" ht="25.5" customHeight="1" spans="1:13">
      <c r="A30" s="28">
        <v>27</v>
      </c>
      <c r="B30" s="31" t="s">
        <v>625</v>
      </c>
      <c r="C30" s="28" t="s">
        <v>626</v>
      </c>
      <c r="D30" s="30">
        <v>13</v>
      </c>
      <c r="E30" s="28" t="s">
        <v>542</v>
      </c>
      <c r="F30" s="28">
        <v>12</v>
      </c>
      <c r="G30" s="28"/>
      <c r="H30" s="28" t="s">
        <v>627</v>
      </c>
      <c r="I30" s="28" t="s">
        <v>570</v>
      </c>
      <c r="J30" s="38" t="s">
        <v>628</v>
      </c>
      <c r="K30" s="39">
        <v>120</v>
      </c>
      <c r="L30" s="37">
        <f t="shared" si="0"/>
        <v>1560</v>
      </c>
      <c r="M30" s="40" t="s">
        <v>546</v>
      </c>
    </row>
    <row r="31" ht="25.5" customHeight="1" spans="1:13">
      <c r="A31" s="28">
        <v>28</v>
      </c>
      <c r="B31" s="31" t="s">
        <v>629</v>
      </c>
      <c r="C31" s="28" t="s">
        <v>630</v>
      </c>
      <c r="D31" s="32">
        <v>17</v>
      </c>
      <c r="E31" s="28" t="s">
        <v>542</v>
      </c>
      <c r="F31" s="28">
        <v>15</v>
      </c>
      <c r="G31" s="28"/>
      <c r="H31" s="28" t="s">
        <v>594</v>
      </c>
      <c r="I31" s="28" t="s">
        <v>631</v>
      </c>
      <c r="J31" s="38" t="s">
        <v>632</v>
      </c>
      <c r="K31" s="39">
        <v>150</v>
      </c>
      <c r="L31" s="37">
        <f t="shared" si="0"/>
        <v>2550</v>
      </c>
      <c r="M31" s="40" t="s">
        <v>546</v>
      </c>
    </row>
    <row r="32" ht="25.5" customHeight="1" spans="1:13">
      <c r="A32" s="28">
        <v>29</v>
      </c>
      <c r="B32" s="31" t="s">
        <v>633</v>
      </c>
      <c r="C32" s="28" t="s">
        <v>634</v>
      </c>
      <c r="D32" s="30">
        <v>20</v>
      </c>
      <c r="E32" s="28" t="s">
        <v>542</v>
      </c>
      <c r="F32" s="28">
        <v>12</v>
      </c>
      <c r="G32" s="28"/>
      <c r="H32" s="28" t="s">
        <v>635</v>
      </c>
      <c r="I32" s="28" t="s">
        <v>594</v>
      </c>
      <c r="J32" s="38" t="s">
        <v>632</v>
      </c>
      <c r="K32" s="39">
        <v>120</v>
      </c>
      <c r="L32" s="37">
        <f t="shared" si="0"/>
        <v>2400</v>
      </c>
      <c r="M32" s="40" t="s">
        <v>546</v>
      </c>
    </row>
    <row r="33" ht="25.5" customHeight="1" spans="1:13">
      <c r="A33" s="28">
        <v>30</v>
      </c>
      <c r="B33" s="31" t="s">
        <v>636</v>
      </c>
      <c r="C33" s="28" t="s">
        <v>637</v>
      </c>
      <c r="D33" s="30">
        <v>20</v>
      </c>
      <c r="E33" s="28" t="s">
        <v>542</v>
      </c>
      <c r="F33" s="28">
        <v>10</v>
      </c>
      <c r="G33" s="28"/>
      <c r="H33" s="28" t="s">
        <v>638</v>
      </c>
      <c r="I33" s="28" t="s">
        <v>611</v>
      </c>
      <c r="J33" s="38" t="s">
        <v>639</v>
      </c>
      <c r="K33" s="39">
        <v>120</v>
      </c>
      <c r="L33" s="37">
        <f t="shared" si="0"/>
        <v>2400</v>
      </c>
      <c r="M33" s="40" t="s">
        <v>546</v>
      </c>
    </row>
    <row r="34" ht="25.5" customHeight="1" spans="1:13">
      <c r="A34" s="28">
        <v>31</v>
      </c>
      <c r="B34" s="31" t="s">
        <v>640</v>
      </c>
      <c r="C34" s="28" t="s">
        <v>641</v>
      </c>
      <c r="D34" s="32">
        <v>17</v>
      </c>
      <c r="E34" s="28" t="s">
        <v>542</v>
      </c>
      <c r="F34" s="28">
        <v>16</v>
      </c>
      <c r="G34" s="28"/>
      <c r="H34" s="28" t="s">
        <v>594</v>
      </c>
      <c r="I34" s="28" t="s">
        <v>594</v>
      </c>
      <c r="J34" s="38" t="s">
        <v>642</v>
      </c>
      <c r="K34" s="39">
        <v>160</v>
      </c>
      <c r="L34" s="37">
        <f t="shared" si="0"/>
        <v>2720</v>
      </c>
      <c r="M34" s="40" t="s">
        <v>546</v>
      </c>
    </row>
    <row r="35" ht="25.5" customHeight="1" spans="1:13">
      <c r="A35" s="28">
        <v>32</v>
      </c>
      <c r="B35" s="31" t="s">
        <v>643</v>
      </c>
      <c r="C35" s="28" t="s">
        <v>644</v>
      </c>
      <c r="D35" s="33">
        <v>7</v>
      </c>
      <c r="E35" s="28" t="s">
        <v>542</v>
      </c>
      <c r="F35" s="28">
        <v>12</v>
      </c>
      <c r="G35" s="28"/>
      <c r="H35" s="28" t="s">
        <v>638</v>
      </c>
      <c r="I35" s="28" t="s">
        <v>638</v>
      </c>
      <c r="J35" s="38" t="s">
        <v>645</v>
      </c>
      <c r="K35" s="39">
        <v>120</v>
      </c>
      <c r="L35" s="37">
        <f t="shared" si="0"/>
        <v>840</v>
      </c>
      <c r="M35" s="40" t="s">
        <v>546</v>
      </c>
    </row>
    <row r="36" ht="25.5" spans="1:13">
      <c r="A36" s="28">
        <v>33</v>
      </c>
      <c r="B36" s="31" t="s">
        <v>646</v>
      </c>
      <c r="C36" s="28" t="s">
        <v>647</v>
      </c>
      <c r="D36" s="32">
        <v>32</v>
      </c>
      <c r="E36" s="28" t="s">
        <v>542</v>
      </c>
      <c r="F36" s="28">
        <v>18</v>
      </c>
      <c r="G36" s="28"/>
      <c r="H36" s="28" t="s">
        <v>648</v>
      </c>
      <c r="I36" s="28" t="s">
        <v>607</v>
      </c>
      <c r="J36" s="38" t="s">
        <v>649</v>
      </c>
      <c r="K36" s="39">
        <v>200</v>
      </c>
      <c r="L36" s="37">
        <f t="shared" si="0"/>
        <v>6400</v>
      </c>
      <c r="M36" s="40" t="s">
        <v>546</v>
      </c>
    </row>
    <row r="37" ht="25.5" spans="1:13">
      <c r="A37" s="28">
        <v>34</v>
      </c>
      <c r="B37" s="31" t="s">
        <v>650</v>
      </c>
      <c r="C37" s="28" t="s">
        <v>651</v>
      </c>
      <c r="D37" s="32">
        <v>35</v>
      </c>
      <c r="E37" s="28" t="s">
        <v>542</v>
      </c>
      <c r="F37" s="28">
        <v>15</v>
      </c>
      <c r="G37" s="28"/>
      <c r="H37" s="28" t="s">
        <v>594</v>
      </c>
      <c r="I37" s="28" t="s">
        <v>594</v>
      </c>
      <c r="J37" s="38" t="s">
        <v>652</v>
      </c>
      <c r="K37" s="39">
        <v>150</v>
      </c>
      <c r="L37" s="37">
        <f t="shared" ref="L37:L68" si="1">D37*K37</f>
        <v>5250</v>
      </c>
      <c r="M37" s="40" t="s">
        <v>546</v>
      </c>
    </row>
    <row r="38" ht="25.5" spans="1:13">
      <c r="A38" s="28">
        <v>35</v>
      </c>
      <c r="B38" s="28" t="s">
        <v>653</v>
      </c>
      <c r="C38" s="31" t="s">
        <v>654</v>
      </c>
      <c r="D38" s="30">
        <v>16</v>
      </c>
      <c r="E38" s="28" t="s">
        <v>542</v>
      </c>
      <c r="F38" s="28">
        <v>12</v>
      </c>
      <c r="G38" s="28"/>
      <c r="H38" s="28" t="s">
        <v>655</v>
      </c>
      <c r="I38" s="28" t="s">
        <v>655</v>
      </c>
      <c r="J38" s="38" t="s">
        <v>652</v>
      </c>
      <c r="K38" s="39">
        <v>120</v>
      </c>
      <c r="L38" s="37">
        <f t="shared" si="1"/>
        <v>1920</v>
      </c>
      <c r="M38" s="40" t="s">
        <v>546</v>
      </c>
    </row>
    <row r="39" ht="25.5" spans="1:13">
      <c r="A39" s="28">
        <v>36</v>
      </c>
      <c r="B39" s="31" t="s">
        <v>656</v>
      </c>
      <c r="C39" s="28" t="s">
        <v>657</v>
      </c>
      <c r="D39" s="30">
        <v>17</v>
      </c>
      <c r="E39" s="28" t="s">
        <v>542</v>
      </c>
      <c r="F39" s="28">
        <v>18</v>
      </c>
      <c r="G39" s="28"/>
      <c r="H39" s="28" t="s">
        <v>648</v>
      </c>
      <c r="I39" s="28" t="s">
        <v>607</v>
      </c>
      <c r="J39" s="38" t="s">
        <v>649</v>
      </c>
      <c r="K39" s="39">
        <v>200</v>
      </c>
      <c r="L39" s="37">
        <f t="shared" si="1"/>
        <v>3400</v>
      </c>
      <c r="M39" s="40" t="s">
        <v>546</v>
      </c>
    </row>
    <row r="40" ht="25.5" spans="1:13">
      <c r="A40" s="28">
        <v>37</v>
      </c>
      <c r="B40" s="31" t="s">
        <v>658</v>
      </c>
      <c r="C40" s="28" t="s">
        <v>659</v>
      </c>
      <c r="D40" s="32">
        <v>18</v>
      </c>
      <c r="E40" s="28" t="s">
        <v>542</v>
      </c>
      <c r="F40" s="28">
        <v>15</v>
      </c>
      <c r="G40" s="28"/>
      <c r="H40" s="28" t="s">
        <v>594</v>
      </c>
      <c r="I40" s="28" t="s">
        <v>594</v>
      </c>
      <c r="J40" s="38" t="s">
        <v>652</v>
      </c>
      <c r="K40" s="39">
        <v>150</v>
      </c>
      <c r="L40" s="37">
        <f t="shared" si="1"/>
        <v>2700</v>
      </c>
      <c r="M40" s="40" t="s">
        <v>546</v>
      </c>
    </row>
    <row r="41" ht="25.5" spans="1:13">
      <c r="A41" s="28">
        <v>38</v>
      </c>
      <c r="B41" s="31" t="s">
        <v>660</v>
      </c>
      <c r="C41" s="28" t="s">
        <v>661</v>
      </c>
      <c r="D41" s="30">
        <v>12</v>
      </c>
      <c r="E41" s="28" t="s">
        <v>542</v>
      </c>
      <c r="F41" s="28">
        <v>12</v>
      </c>
      <c r="G41" s="28"/>
      <c r="H41" s="28" t="s">
        <v>655</v>
      </c>
      <c r="I41" s="28" t="s">
        <v>594</v>
      </c>
      <c r="J41" s="38" t="s">
        <v>652</v>
      </c>
      <c r="K41" s="39">
        <v>120</v>
      </c>
      <c r="L41" s="37">
        <f t="shared" si="1"/>
        <v>1440</v>
      </c>
      <c r="M41" s="40" t="s">
        <v>546</v>
      </c>
    </row>
    <row r="42" ht="25.5" spans="1:13">
      <c r="A42" s="28">
        <v>39</v>
      </c>
      <c r="B42" s="31" t="s">
        <v>662</v>
      </c>
      <c r="C42" s="28" t="s">
        <v>663</v>
      </c>
      <c r="D42" s="32">
        <v>27</v>
      </c>
      <c r="E42" s="28" t="s">
        <v>542</v>
      </c>
      <c r="F42" s="28">
        <v>15</v>
      </c>
      <c r="G42" s="28"/>
      <c r="H42" s="28" t="s">
        <v>594</v>
      </c>
      <c r="I42" s="28" t="s">
        <v>664</v>
      </c>
      <c r="J42" s="38" t="s">
        <v>652</v>
      </c>
      <c r="K42" s="39">
        <v>150</v>
      </c>
      <c r="L42" s="37">
        <f t="shared" si="1"/>
        <v>4050</v>
      </c>
      <c r="M42" s="40" t="s">
        <v>546</v>
      </c>
    </row>
    <row r="43" ht="25.5" spans="1:13">
      <c r="A43" s="28">
        <v>40</v>
      </c>
      <c r="B43" s="31" t="s">
        <v>665</v>
      </c>
      <c r="C43" s="28" t="s">
        <v>666</v>
      </c>
      <c r="D43" s="32">
        <v>26</v>
      </c>
      <c r="E43" s="28" t="s">
        <v>542</v>
      </c>
      <c r="F43" s="28">
        <v>12</v>
      </c>
      <c r="G43" s="28"/>
      <c r="H43" s="28" t="s">
        <v>611</v>
      </c>
      <c r="I43" s="28" t="s">
        <v>594</v>
      </c>
      <c r="J43" s="38" t="s">
        <v>652</v>
      </c>
      <c r="K43" s="39">
        <v>120</v>
      </c>
      <c r="L43" s="37">
        <f t="shared" si="1"/>
        <v>3120</v>
      </c>
      <c r="M43" s="40" t="s">
        <v>546</v>
      </c>
    </row>
    <row r="44" ht="25.5" spans="1:13">
      <c r="A44" s="28">
        <v>41</v>
      </c>
      <c r="B44" s="31" t="s">
        <v>667</v>
      </c>
      <c r="C44" s="28" t="s">
        <v>667</v>
      </c>
      <c r="D44" s="30">
        <v>7</v>
      </c>
      <c r="E44" s="28" t="s">
        <v>542</v>
      </c>
      <c r="F44" s="28">
        <v>16</v>
      </c>
      <c r="G44" s="28"/>
      <c r="H44" s="28" t="s">
        <v>602</v>
      </c>
      <c r="I44" s="28" t="s">
        <v>648</v>
      </c>
      <c r="J44" s="38" t="s">
        <v>668</v>
      </c>
      <c r="K44" s="39">
        <v>160</v>
      </c>
      <c r="L44" s="37">
        <f t="shared" si="1"/>
        <v>1120</v>
      </c>
      <c r="M44" s="40" t="s">
        <v>546</v>
      </c>
    </row>
    <row r="45" ht="25.5" spans="1:13">
      <c r="A45" s="28">
        <v>42</v>
      </c>
      <c r="B45" s="31" t="s">
        <v>669</v>
      </c>
      <c r="C45" s="28" t="s">
        <v>670</v>
      </c>
      <c r="D45" s="32">
        <v>16</v>
      </c>
      <c r="E45" s="28" t="s">
        <v>542</v>
      </c>
      <c r="F45" s="28">
        <v>15</v>
      </c>
      <c r="G45" s="28"/>
      <c r="H45" s="28" t="s">
        <v>594</v>
      </c>
      <c r="I45" s="28" t="s">
        <v>594</v>
      </c>
      <c r="J45" s="38" t="s">
        <v>671</v>
      </c>
      <c r="K45" s="39">
        <v>150</v>
      </c>
      <c r="L45" s="37">
        <f t="shared" si="1"/>
        <v>2400</v>
      </c>
      <c r="M45" s="40" t="s">
        <v>546</v>
      </c>
    </row>
    <row r="46" ht="25.5" spans="1:13">
      <c r="A46" s="28">
        <v>43</v>
      </c>
      <c r="B46" s="31" t="s">
        <v>672</v>
      </c>
      <c r="C46" s="28" t="s">
        <v>673</v>
      </c>
      <c r="D46" s="32">
        <v>10</v>
      </c>
      <c r="E46" s="28" t="s">
        <v>542</v>
      </c>
      <c r="F46" s="28">
        <v>12</v>
      </c>
      <c r="G46" s="28"/>
      <c r="H46" s="28" t="s">
        <v>611</v>
      </c>
      <c r="I46" s="28" t="s">
        <v>674</v>
      </c>
      <c r="J46" s="38" t="s">
        <v>652</v>
      </c>
      <c r="K46" s="39">
        <v>120</v>
      </c>
      <c r="L46" s="37">
        <f t="shared" si="1"/>
        <v>1200</v>
      </c>
      <c r="M46" s="40" t="s">
        <v>546</v>
      </c>
    </row>
    <row r="47" ht="25.5" spans="1:13">
      <c r="A47" s="28">
        <v>44</v>
      </c>
      <c r="B47" s="31" t="s">
        <v>675</v>
      </c>
      <c r="C47" s="28" t="s">
        <v>676</v>
      </c>
      <c r="D47" s="32">
        <v>12</v>
      </c>
      <c r="E47" s="28" t="s">
        <v>542</v>
      </c>
      <c r="F47" s="28">
        <v>12</v>
      </c>
      <c r="G47" s="28"/>
      <c r="H47" s="28" t="s">
        <v>611</v>
      </c>
      <c r="I47" s="28" t="s">
        <v>674</v>
      </c>
      <c r="J47" s="38" t="s">
        <v>652</v>
      </c>
      <c r="K47" s="39">
        <v>120</v>
      </c>
      <c r="L47" s="37">
        <f t="shared" si="1"/>
        <v>1440</v>
      </c>
      <c r="M47" s="40" t="s">
        <v>546</v>
      </c>
    </row>
    <row r="48" ht="25.5" spans="1:13">
      <c r="A48" s="28">
        <v>45</v>
      </c>
      <c r="B48" s="28" t="s">
        <v>677</v>
      </c>
      <c r="C48" s="31" t="s">
        <v>678</v>
      </c>
      <c r="D48" s="30">
        <v>11</v>
      </c>
      <c r="E48" s="28" t="s">
        <v>542</v>
      </c>
      <c r="F48" s="30">
        <v>10</v>
      </c>
      <c r="G48" s="30"/>
      <c r="H48" s="30" t="s">
        <v>679</v>
      </c>
      <c r="I48" s="30" t="s">
        <v>680</v>
      </c>
      <c r="J48" s="38" t="s">
        <v>681</v>
      </c>
      <c r="K48" s="39">
        <v>80</v>
      </c>
      <c r="L48" s="37">
        <f t="shared" si="1"/>
        <v>880</v>
      </c>
      <c r="M48" s="40" t="s">
        <v>546</v>
      </c>
    </row>
    <row r="49" ht="25.5" spans="1:13">
      <c r="A49" s="28">
        <v>46</v>
      </c>
      <c r="B49" s="31" t="s">
        <v>682</v>
      </c>
      <c r="C49" s="28" t="s">
        <v>682</v>
      </c>
      <c r="D49" s="32">
        <v>5</v>
      </c>
      <c r="E49" s="28" t="s">
        <v>542</v>
      </c>
      <c r="F49" s="28">
        <v>15</v>
      </c>
      <c r="G49" s="28"/>
      <c r="H49" s="28" t="s">
        <v>683</v>
      </c>
      <c r="I49" s="28" t="s">
        <v>679</v>
      </c>
      <c r="J49" s="38" t="s">
        <v>684</v>
      </c>
      <c r="K49" s="39">
        <v>150</v>
      </c>
      <c r="L49" s="37">
        <f t="shared" si="1"/>
        <v>750</v>
      </c>
      <c r="M49" s="40" t="s">
        <v>546</v>
      </c>
    </row>
    <row r="50" ht="25.5" spans="1:13">
      <c r="A50" s="28">
        <v>47</v>
      </c>
      <c r="B50" s="28" t="s">
        <v>685</v>
      </c>
      <c r="C50" s="31" t="s">
        <v>686</v>
      </c>
      <c r="D50" s="30">
        <v>11</v>
      </c>
      <c r="E50" s="28" t="s">
        <v>542</v>
      </c>
      <c r="F50" s="28">
        <v>12</v>
      </c>
      <c r="G50" s="28"/>
      <c r="H50" s="28" t="s">
        <v>635</v>
      </c>
      <c r="I50" s="28" t="s">
        <v>638</v>
      </c>
      <c r="J50" s="38" t="s">
        <v>687</v>
      </c>
      <c r="K50" s="39">
        <v>120</v>
      </c>
      <c r="L50" s="37">
        <f t="shared" si="1"/>
        <v>1320</v>
      </c>
      <c r="M50" s="40" t="s">
        <v>546</v>
      </c>
    </row>
    <row r="51" ht="25.5" spans="1:13">
      <c r="A51" s="28">
        <v>48</v>
      </c>
      <c r="B51" s="31" t="s">
        <v>688</v>
      </c>
      <c r="C51" s="28" t="s">
        <v>689</v>
      </c>
      <c r="D51" s="30">
        <v>5</v>
      </c>
      <c r="E51" s="28" t="s">
        <v>542</v>
      </c>
      <c r="F51" s="28">
        <v>7</v>
      </c>
      <c r="G51" s="28"/>
      <c r="H51" s="28" t="s">
        <v>690</v>
      </c>
      <c r="I51" s="28" t="s">
        <v>691</v>
      </c>
      <c r="J51" s="38" t="s">
        <v>687</v>
      </c>
      <c r="K51" s="39">
        <v>80</v>
      </c>
      <c r="L51" s="37">
        <f t="shared" si="1"/>
        <v>400</v>
      </c>
      <c r="M51" s="40" t="s">
        <v>546</v>
      </c>
    </row>
    <row r="52" ht="25.5" spans="1:13">
      <c r="A52" s="28">
        <v>49</v>
      </c>
      <c r="B52" s="28" t="s">
        <v>692</v>
      </c>
      <c r="C52" s="31" t="s">
        <v>693</v>
      </c>
      <c r="D52" s="33">
        <v>61</v>
      </c>
      <c r="E52" s="28" t="s">
        <v>542</v>
      </c>
      <c r="F52" s="28">
        <v>12</v>
      </c>
      <c r="G52" s="28"/>
      <c r="H52" s="28" t="s">
        <v>638</v>
      </c>
      <c r="I52" s="28" t="s">
        <v>635</v>
      </c>
      <c r="J52" s="38" t="s">
        <v>632</v>
      </c>
      <c r="K52" s="39">
        <v>120</v>
      </c>
      <c r="L52" s="37">
        <f t="shared" si="1"/>
        <v>7320</v>
      </c>
      <c r="M52" s="40" t="s">
        <v>546</v>
      </c>
    </row>
    <row r="53" ht="25.5" spans="1:13">
      <c r="A53" s="28">
        <v>50</v>
      </c>
      <c r="B53" s="31" t="s">
        <v>694</v>
      </c>
      <c r="C53" s="28" t="s">
        <v>695</v>
      </c>
      <c r="D53" s="33">
        <v>30</v>
      </c>
      <c r="E53" s="28" t="s">
        <v>542</v>
      </c>
      <c r="F53" s="30">
        <v>10</v>
      </c>
      <c r="G53" s="30"/>
      <c r="H53" s="30" t="s">
        <v>679</v>
      </c>
      <c r="I53" s="30" t="s">
        <v>638</v>
      </c>
      <c r="J53" s="38" t="s">
        <v>639</v>
      </c>
      <c r="K53" s="39">
        <v>80</v>
      </c>
      <c r="L53" s="37">
        <f t="shared" si="1"/>
        <v>2400</v>
      </c>
      <c r="M53" s="40" t="s">
        <v>546</v>
      </c>
    </row>
    <row r="54" ht="25.5" spans="1:13">
      <c r="A54" s="28">
        <v>51</v>
      </c>
      <c r="B54" s="31" t="s">
        <v>696</v>
      </c>
      <c r="C54" s="28" t="s">
        <v>697</v>
      </c>
      <c r="D54" s="32">
        <v>34</v>
      </c>
      <c r="E54" s="28" t="s">
        <v>542</v>
      </c>
      <c r="F54" s="28">
        <v>12</v>
      </c>
      <c r="G54" s="28"/>
      <c r="H54" s="28" t="s">
        <v>638</v>
      </c>
      <c r="I54" s="28" t="s">
        <v>635</v>
      </c>
      <c r="J54" s="38" t="s">
        <v>632</v>
      </c>
      <c r="K54" s="39">
        <v>120</v>
      </c>
      <c r="L54" s="37">
        <f t="shared" si="1"/>
        <v>4080</v>
      </c>
      <c r="M54" s="40" t="s">
        <v>546</v>
      </c>
    </row>
    <row r="55" ht="25.5" spans="1:13">
      <c r="A55" s="28">
        <v>52</v>
      </c>
      <c r="B55" s="31" t="s">
        <v>698</v>
      </c>
      <c r="C55" s="28" t="s">
        <v>699</v>
      </c>
      <c r="D55" s="32">
        <v>29</v>
      </c>
      <c r="E55" s="28" t="s">
        <v>542</v>
      </c>
      <c r="F55" s="30">
        <v>10</v>
      </c>
      <c r="G55" s="30"/>
      <c r="H55" s="30" t="s">
        <v>679</v>
      </c>
      <c r="I55" s="30" t="s">
        <v>638</v>
      </c>
      <c r="J55" s="38" t="s">
        <v>681</v>
      </c>
      <c r="K55" s="39">
        <v>80</v>
      </c>
      <c r="L55" s="37">
        <f t="shared" si="1"/>
        <v>2320</v>
      </c>
      <c r="M55" s="40" t="s">
        <v>546</v>
      </c>
    </row>
    <row r="56" ht="25.5" spans="1:13">
      <c r="A56" s="28">
        <v>53</v>
      </c>
      <c r="B56" s="31" t="s">
        <v>700</v>
      </c>
      <c r="C56" s="28" t="s">
        <v>700</v>
      </c>
      <c r="D56" s="32">
        <v>11</v>
      </c>
      <c r="E56" s="28" t="s">
        <v>542</v>
      </c>
      <c r="F56" s="28">
        <v>10</v>
      </c>
      <c r="G56" s="28"/>
      <c r="H56" s="28" t="s">
        <v>701</v>
      </c>
      <c r="I56" s="28" t="s">
        <v>701</v>
      </c>
      <c r="J56" s="38" t="s">
        <v>681</v>
      </c>
      <c r="K56" s="39">
        <v>100</v>
      </c>
      <c r="L56" s="37">
        <f t="shared" si="1"/>
        <v>1100</v>
      </c>
      <c r="M56" s="40" t="s">
        <v>546</v>
      </c>
    </row>
    <row r="57" ht="25.5" spans="1:13">
      <c r="A57" s="28">
        <v>54</v>
      </c>
      <c r="B57" s="28" t="s">
        <v>702</v>
      </c>
      <c r="C57" s="31" t="s">
        <v>703</v>
      </c>
      <c r="D57" s="32">
        <v>27</v>
      </c>
      <c r="E57" s="28" t="s">
        <v>542</v>
      </c>
      <c r="F57" s="30">
        <v>12</v>
      </c>
      <c r="G57" s="28"/>
      <c r="H57" s="28" t="s">
        <v>638</v>
      </c>
      <c r="I57" s="28" t="s">
        <v>679</v>
      </c>
      <c r="J57" s="38" t="s">
        <v>681</v>
      </c>
      <c r="K57" s="39">
        <v>100</v>
      </c>
      <c r="L57" s="37">
        <f t="shared" si="1"/>
        <v>2700</v>
      </c>
      <c r="M57" s="40" t="s">
        <v>546</v>
      </c>
    </row>
    <row r="58" ht="25.5" spans="1:13">
      <c r="A58" s="28">
        <v>55</v>
      </c>
      <c r="B58" s="31" t="s">
        <v>704</v>
      </c>
      <c r="C58" s="28" t="s">
        <v>705</v>
      </c>
      <c r="D58" s="33">
        <v>18</v>
      </c>
      <c r="E58" s="28" t="s">
        <v>542</v>
      </c>
      <c r="F58" s="30">
        <v>8</v>
      </c>
      <c r="G58" s="30"/>
      <c r="H58" s="30" t="s">
        <v>610</v>
      </c>
      <c r="I58" s="30" t="s">
        <v>610</v>
      </c>
      <c r="J58" s="38" t="s">
        <v>681</v>
      </c>
      <c r="K58" s="39">
        <v>80</v>
      </c>
      <c r="L58" s="37">
        <f t="shared" si="1"/>
        <v>1440</v>
      </c>
      <c r="M58" s="40" t="s">
        <v>546</v>
      </c>
    </row>
    <row r="59" ht="25.5" spans="1:13">
      <c r="A59" s="28">
        <v>56</v>
      </c>
      <c r="B59" s="31" t="s">
        <v>706</v>
      </c>
      <c r="C59" s="28" t="s">
        <v>707</v>
      </c>
      <c r="D59" s="33">
        <v>8</v>
      </c>
      <c r="E59" s="28" t="s">
        <v>542</v>
      </c>
      <c r="F59" s="28">
        <v>10</v>
      </c>
      <c r="G59" s="28"/>
      <c r="H59" s="28" t="s">
        <v>701</v>
      </c>
      <c r="I59" s="28" t="s">
        <v>701</v>
      </c>
      <c r="J59" s="38" t="s">
        <v>681</v>
      </c>
      <c r="K59" s="39">
        <v>80</v>
      </c>
      <c r="L59" s="37">
        <f t="shared" si="1"/>
        <v>640</v>
      </c>
      <c r="M59" s="40" t="s">
        <v>546</v>
      </c>
    </row>
    <row r="60" ht="25.5" spans="1:13">
      <c r="A60" s="28">
        <v>57</v>
      </c>
      <c r="B60" s="28" t="s">
        <v>708</v>
      </c>
      <c r="C60" s="31" t="s">
        <v>709</v>
      </c>
      <c r="D60" s="30">
        <v>7</v>
      </c>
      <c r="E60" s="28" t="s">
        <v>542</v>
      </c>
      <c r="F60" s="28">
        <v>7</v>
      </c>
      <c r="G60" s="28"/>
      <c r="H60" s="28" t="s">
        <v>710</v>
      </c>
      <c r="I60" s="28" t="s">
        <v>710</v>
      </c>
      <c r="J60" s="38" t="s">
        <v>681</v>
      </c>
      <c r="K60" s="39">
        <v>60</v>
      </c>
      <c r="L60" s="37">
        <f t="shared" si="1"/>
        <v>420</v>
      </c>
      <c r="M60" s="40" t="s">
        <v>546</v>
      </c>
    </row>
    <row r="61" ht="38.25" spans="1:13">
      <c r="A61" s="28">
        <v>58</v>
      </c>
      <c r="B61" s="31" t="s">
        <v>711</v>
      </c>
      <c r="C61" s="28" t="s">
        <v>712</v>
      </c>
      <c r="D61" s="33">
        <v>25</v>
      </c>
      <c r="E61" s="28" t="s">
        <v>542</v>
      </c>
      <c r="F61" s="28">
        <v>12</v>
      </c>
      <c r="G61" s="28"/>
      <c r="H61" s="28" t="s">
        <v>635</v>
      </c>
      <c r="I61" s="28" t="s">
        <v>635</v>
      </c>
      <c r="J61" s="38" t="s">
        <v>713</v>
      </c>
      <c r="K61" s="39">
        <v>100</v>
      </c>
      <c r="L61" s="37">
        <f t="shared" si="1"/>
        <v>2500</v>
      </c>
      <c r="M61" s="40" t="s">
        <v>546</v>
      </c>
    </row>
    <row r="62" ht="25.5" spans="1:13">
      <c r="A62" s="28">
        <v>59</v>
      </c>
      <c r="B62" s="28" t="s">
        <v>714</v>
      </c>
      <c r="C62" s="31" t="s">
        <v>715</v>
      </c>
      <c r="D62" s="32">
        <v>11</v>
      </c>
      <c r="E62" s="28" t="s">
        <v>542</v>
      </c>
      <c r="F62" s="28">
        <v>8</v>
      </c>
      <c r="G62" s="28"/>
      <c r="H62" s="28" t="s">
        <v>680</v>
      </c>
      <c r="I62" s="28" t="s">
        <v>610</v>
      </c>
      <c r="J62" s="38" t="s">
        <v>681</v>
      </c>
      <c r="K62" s="39">
        <v>80</v>
      </c>
      <c r="L62" s="37">
        <f t="shared" si="1"/>
        <v>880</v>
      </c>
      <c r="M62" s="40" t="s">
        <v>546</v>
      </c>
    </row>
    <row r="63" ht="24.75" spans="1:13">
      <c r="A63" s="28">
        <v>60</v>
      </c>
      <c r="B63" s="31" t="s">
        <v>716</v>
      </c>
      <c r="C63" s="28" t="s">
        <v>716</v>
      </c>
      <c r="D63" s="32">
        <v>16</v>
      </c>
      <c r="E63" s="28" t="s">
        <v>542</v>
      </c>
      <c r="F63" s="28"/>
      <c r="G63" s="28"/>
      <c r="H63" s="28" t="s">
        <v>717</v>
      </c>
      <c r="I63" s="28" t="s">
        <v>718</v>
      </c>
      <c r="J63" s="38" t="s">
        <v>719</v>
      </c>
      <c r="K63" s="39">
        <v>50</v>
      </c>
      <c r="L63" s="37">
        <f t="shared" si="1"/>
        <v>800</v>
      </c>
      <c r="M63" s="40" t="s">
        <v>546</v>
      </c>
    </row>
    <row r="64" ht="24" customHeight="1" spans="1:13">
      <c r="A64" s="28">
        <v>61</v>
      </c>
      <c r="B64" s="31" t="s">
        <v>720</v>
      </c>
      <c r="C64" s="28" t="s">
        <v>721</v>
      </c>
      <c r="D64" s="33">
        <v>31</v>
      </c>
      <c r="E64" s="28" t="s">
        <v>542</v>
      </c>
      <c r="F64" s="28"/>
      <c r="G64" s="28"/>
      <c r="H64" s="28" t="s">
        <v>679</v>
      </c>
      <c r="I64" s="28" t="s">
        <v>679</v>
      </c>
      <c r="J64" s="38" t="s">
        <v>722</v>
      </c>
      <c r="K64" s="39">
        <v>100</v>
      </c>
      <c r="L64" s="37">
        <f t="shared" si="1"/>
        <v>3100</v>
      </c>
      <c r="M64" s="40" t="s">
        <v>546</v>
      </c>
    </row>
    <row r="65" ht="24" customHeight="1" spans="1:13">
      <c r="A65" s="28">
        <v>62</v>
      </c>
      <c r="B65" s="31" t="s">
        <v>723</v>
      </c>
      <c r="C65" s="28" t="s">
        <v>724</v>
      </c>
      <c r="D65" s="33">
        <v>29</v>
      </c>
      <c r="E65" s="28" t="s">
        <v>542</v>
      </c>
      <c r="F65" s="28"/>
      <c r="G65" s="28"/>
      <c r="H65" s="28" t="s">
        <v>691</v>
      </c>
      <c r="I65" s="28" t="s">
        <v>691</v>
      </c>
      <c r="J65" s="38" t="s">
        <v>725</v>
      </c>
      <c r="K65" s="39">
        <v>80</v>
      </c>
      <c r="L65" s="37">
        <f t="shared" si="1"/>
        <v>2320</v>
      </c>
      <c r="M65" s="40" t="s">
        <v>546</v>
      </c>
    </row>
    <row r="66" ht="25.5" spans="1:13">
      <c r="A66" s="28">
        <v>63</v>
      </c>
      <c r="B66" s="31" t="s">
        <v>726</v>
      </c>
      <c r="C66" s="28" t="s">
        <v>726</v>
      </c>
      <c r="D66" s="32">
        <v>82</v>
      </c>
      <c r="E66" s="28" t="s">
        <v>542</v>
      </c>
      <c r="F66" s="28"/>
      <c r="G66" s="28"/>
      <c r="H66" s="28" t="s">
        <v>710</v>
      </c>
      <c r="I66" s="28" t="s">
        <v>710</v>
      </c>
      <c r="J66" s="38" t="s">
        <v>727</v>
      </c>
      <c r="K66" s="39">
        <v>50</v>
      </c>
      <c r="L66" s="37">
        <f t="shared" si="1"/>
        <v>4100</v>
      </c>
      <c r="M66" s="40" t="s">
        <v>546</v>
      </c>
    </row>
    <row r="67" ht="24.75" spans="1:13">
      <c r="A67" s="28">
        <v>64</v>
      </c>
      <c r="B67" s="31" t="s">
        <v>728</v>
      </c>
      <c r="C67" s="28" t="s">
        <v>729</v>
      </c>
      <c r="D67" s="32">
        <f>40-26</f>
        <v>14</v>
      </c>
      <c r="E67" s="28" t="s">
        <v>542</v>
      </c>
      <c r="F67" s="28"/>
      <c r="G67" s="28"/>
      <c r="H67" s="28" t="s">
        <v>611</v>
      </c>
      <c r="I67" s="28" t="s">
        <v>730</v>
      </c>
      <c r="J67" s="38" t="s">
        <v>731</v>
      </c>
      <c r="K67" s="39">
        <v>80</v>
      </c>
      <c r="L67" s="37">
        <f t="shared" si="1"/>
        <v>1120</v>
      </c>
      <c r="M67" s="40" t="s">
        <v>546</v>
      </c>
    </row>
    <row r="68" ht="24.75" spans="1:13">
      <c r="A68" s="28">
        <v>65</v>
      </c>
      <c r="B68" s="31" t="s">
        <v>728</v>
      </c>
      <c r="C68" s="31" t="s">
        <v>732</v>
      </c>
      <c r="D68" s="30">
        <f>46-11</f>
        <v>35</v>
      </c>
      <c r="E68" s="28" t="s">
        <v>542</v>
      </c>
      <c r="F68" s="28"/>
      <c r="G68" s="28"/>
      <c r="H68" s="28" t="s">
        <v>635</v>
      </c>
      <c r="I68" s="28" t="s">
        <v>627</v>
      </c>
      <c r="J68" s="38" t="s">
        <v>731</v>
      </c>
      <c r="K68" s="39">
        <v>80</v>
      </c>
      <c r="L68" s="37">
        <f t="shared" si="1"/>
        <v>2800</v>
      </c>
      <c r="M68" s="40" t="s">
        <v>546</v>
      </c>
    </row>
    <row r="69" ht="24.75" spans="1:13">
      <c r="A69" s="28">
        <v>66</v>
      </c>
      <c r="B69" s="28" t="s">
        <v>733</v>
      </c>
      <c r="C69" s="31" t="s">
        <v>734</v>
      </c>
      <c r="D69" s="32">
        <v>40</v>
      </c>
      <c r="E69" s="28" t="s">
        <v>542</v>
      </c>
      <c r="F69" s="28"/>
      <c r="G69" s="28"/>
      <c r="H69" s="28" t="s">
        <v>735</v>
      </c>
      <c r="I69" s="28" t="s">
        <v>679</v>
      </c>
      <c r="J69" s="38" t="s">
        <v>736</v>
      </c>
      <c r="K69" s="39">
        <v>60</v>
      </c>
      <c r="L69" s="37">
        <f t="shared" ref="L69:L100" si="2">D69*K69</f>
        <v>2400</v>
      </c>
      <c r="M69" s="40" t="s">
        <v>546</v>
      </c>
    </row>
    <row r="70" ht="24.75" spans="1:13">
      <c r="A70" s="28">
        <v>67</v>
      </c>
      <c r="B70" s="31" t="s">
        <v>737</v>
      </c>
      <c r="C70" s="28" t="s">
        <v>737</v>
      </c>
      <c r="D70" s="32">
        <v>40</v>
      </c>
      <c r="E70" s="28" t="s">
        <v>542</v>
      </c>
      <c r="F70" s="28"/>
      <c r="G70" s="28"/>
      <c r="H70" s="28" t="s">
        <v>690</v>
      </c>
      <c r="I70" s="28" t="s">
        <v>690</v>
      </c>
      <c r="J70" s="38" t="s">
        <v>736</v>
      </c>
      <c r="K70" s="39">
        <v>60</v>
      </c>
      <c r="L70" s="37">
        <f t="shared" si="2"/>
        <v>2400</v>
      </c>
      <c r="M70" s="40" t="s">
        <v>546</v>
      </c>
    </row>
    <row r="71" ht="25.5" spans="1:13">
      <c r="A71" s="28">
        <v>68</v>
      </c>
      <c r="B71" s="28" t="s">
        <v>738</v>
      </c>
      <c r="C71" s="31" t="s">
        <v>738</v>
      </c>
      <c r="D71" s="32">
        <v>6</v>
      </c>
      <c r="E71" s="28" t="s">
        <v>542</v>
      </c>
      <c r="F71" s="28"/>
      <c r="G71" s="28"/>
      <c r="H71" s="28">
        <v>150</v>
      </c>
      <c r="I71" s="28">
        <v>180</v>
      </c>
      <c r="J71" s="38" t="s">
        <v>681</v>
      </c>
      <c r="K71" s="39">
        <v>50</v>
      </c>
      <c r="L71" s="37">
        <f t="shared" si="2"/>
        <v>300</v>
      </c>
      <c r="M71" s="40" t="s">
        <v>546</v>
      </c>
    </row>
    <row r="72" ht="19.05" customHeight="1" spans="1:13">
      <c r="A72" s="28">
        <v>69</v>
      </c>
      <c r="B72" s="31" t="s">
        <v>739</v>
      </c>
      <c r="C72" s="28" t="s">
        <v>740</v>
      </c>
      <c r="D72" s="32">
        <v>38</v>
      </c>
      <c r="E72" s="28" t="s">
        <v>542</v>
      </c>
      <c r="F72" s="28"/>
      <c r="G72" s="28"/>
      <c r="H72" s="28">
        <v>180</v>
      </c>
      <c r="I72" s="28">
        <v>150</v>
      </c>
      <c r="J72" s="38" t="s">
        <v>741</v>
      </c>
      <c r="K72" s="39">
        <v>50</v>
      </c>
      <c r="L72" s="37">
        <f t="shared" si="2"/>
        <v>1900</v>
      </c>
      <c r="M72" s="40" t="s">
        <v>546</v>
      </c>
    </row>
    <row r="73" ht="19.05" customHeight="1" spans="1:13">
      <c r="A73" s="28">
        <v>70</v>
      </c>
      <c r="B73" s="31" t="s">
        <v>742</v>
      </c>
      <c r="C73" s="28" t="s">
        <v>743</v>
      </c>
      <c r="D73" s="30">
        <v>18</v>
      </c>
      <c r="E73" s="28" t="s">
        <v>542</v>
      </c>
      <c r="F73" s="28"/>
      <c r="G73" s="28"/>
      <c r="H73" s="28">
        <v>150</v>
      </c>
      <c r="I73" s="28">
        <v>120</v>
      </c>
      <c r="J73" s="38" t="s">
        <v>741</v>
      </c>
      <c r="K73" s="39">
        <v>40</v>
      </c>
      <c r="L73" s="37">
        <f t="shared" si="2"/>
        <v>720</v>
      </c>
      <c r="M73" s="40" t="s">
        <v>546</v>
      </c>
    </row>
    <row r="74" ht="19.05" customHeight="1" spans="1:13">
      <c r="A74" s="28">
        <v>71</v>
      </c>
      <c r="B74" s="28" t="s">
        <v>744</v>
      </c>
      <c r="C74" s="31" t="s">
        <v>745</v>
      </c>
      <c r="D74" s="30">
        <v>69</v>
      </c>
      <c r="E74" s="28" t="s">
        <v>542</v>
      </c>
      <c r="F74" s="28"/>
      <c r="G74" s="28"/>
      <c r="H74" s="28">
        <v>220</v>
      </c>
      <c r="I74" s="28">
        <v>200</v>
      </c>
      <c r="J74" s="38"/>
      <c r="K74" s="39">
        <v>50</v>
      </c>
      <c r="L74" s="37">
        <f t="shared" si="2"/>
        <v>3450</v>
      </c>
      <c r="M74" s="40" t="s">
        <v>546</v>
      </c>
    </row>
    <row r="75" ht="19.05" customHeight="1" spans="1:13">
      <c r="A75" s="28">
        <v>72</v>
      </c>
      <c r="B75" s="28" t="s">
        <v>746</v>
      </c>
      <c r="C75" s="31" t="s">
        <v>747</v>
      </c>
      <c r="D75" s="32">
        <v>188</v>
      </c>
      <c r="E75" s="28" t="s">
        <v>542</v>
      </c>
      <c r="F75" s="28"/>
      <c r="G75" s="28"/>
      <c r="H75" s="28">
        <v>200</v>
      </c>
      <c r="I75" s="28">
        <v>180</v>
      </c>
      <c r="J75" s="38" t="s">
        <v>748</v>
      </c>
      <c r="K75" s="39">
        <v>50</v>
      </c>
      <c r="L75" s="37">
        <f t="shared" si="2"/>
        <v>9400</v>
      </c>
      <c r="M75" s="40" t="s">
        <v>546</v>
      </c>
    </row>
    <row r="76" ht="19.05" customHeight="1" spans="1:13">
      <c r="A76" s="28">
        <v>73</v>
      </c>
      <c r="B76" s="28" t="s">
        <v>749</v>
      </c>
      <c r="C76" s="28" t="s">
        <v>749</v>
      </c>
      <c r="D76" s="33">
        <v>56</v>
      </c>
      <c r="E76" s="28" t="s">
        <v>542</v>
      </c>
      <c r="F76" s="28"/>
      <c r="G76" s="28"/>
      <c r="H76" s="28">
        <v>180</v>
      </c>
      <c r="I76" s="28">
        <v>150</v>
      </c>
      <c r="J76" s="38" t="s">
        <v>748</v>
      </c>
      <c r="K76" s="39">
        <v>50</v>
      </c>
      <c r="L76" s="37">
        <f t="shared" si="2"/>
        <v>2800</v>
      </c>
      <c r="M76" s="40" t="s">
        <v>546</v>
      </c>
    </row>
    <row r="77" ht="19.05" customHeight="1" spans="1:13">
      <c r="A77" s="28">
        <v>74</v>
      </c>
      <c r="B77" s="28" t="s">
        <v>750</v>
      </c>
      <c r="C77" s="28" t="s">
        <v>750</v>
      </c>
      <c r="D77" s="32">
        <v>10</v>
      </c>
      <c r="E77" s="28" t="s">
        <v>542</v>
      </c>
      <c r="F77" s="28"/>
      <c r="G77" s="28"/>
      <c r="H77" s="28">
        <v>150</v>
      </c>
      <c r="I77" s="28">
        <v>120</v>
      </c>
      <c r="J77" s="38" t="s">
        <v>748</v>
      </c>
      <c r="K77" s="39">
        <v>40</v>
      </c>
      <c r="L77" s="37">
        <f t="shared" si="2"/>
        <v>400</v>
      </c>
      <c r="M77" s="40" t="s">
        <v>546</v>
      </c>
    </row>
    <row r="78" ht="19.05" customHeight="1" spans="1:13">
      <c r="A78" s="28">
        <v>75</v>
      </c>
      <c r="B78" s="31" t="s">
        <v>751</v>
      </c>
      <c r="C78" s="28" t="s">
        <v>752</v>
      </c>
      <c r="D78" s="32">
        <v>98</v>
      </c>
      <c r="E78" s="28" t="s">
        <v>542</v>
      </c>
      <c r="F78" s="28"/>
      <c r="G78" s="28"/>
      <c r="H78" s="28">
        <v>180</v>
      </c>
      <c r="I78" s="28">
        <v>150</v>
      </c>
      <c r="J78" s="38" t="s">
        <v>748</v>
      </c>
      <c r="K78" s="39">
        <v>50</v>
      </c>
      <c r="L78" s="37">
        <f t="shared" si="2"/>
        <v>4900</v>
      </c>
      <c r="M78" s="40" t="s">
        <v>546</v>
      </c>
    </row>
    <row r="79" ht="19.05" customHeight="1" spans="1:13">
      <c r="A79" s="28">
        <v>76</v>
      </c>
      <c r="B79" s="28" t="s">
        <v>753</v>
      </c>
      <c r="C79" s="28" t="s">
        <v>753</v>
      </c>
      <c r="D79" s="32">
        <v>52</v>
      </c>
      <c r="E79" s="28" t="s">
        <v>542</v>
      </c>
      <c r="F79" s="28"/>
      <c r="G79" s="28"/>
      <c r="H79" s="28">
        <v>150</v>
      </c>
      <c r="I79" s="28">
        <v>120</v>
      </c>
      <c r="J79" s="38" t="s">
        <v>748</v>
      </c>
      <c r="K79" s="39">
        <v>40</v>
      </c>
      <c r="L79" s="37">
        <f t="shared" si="2"/>
        <v>2080</v>
      </c>
      <c r="M79" s="40" t="s">
        <v>546</v>
      </c>
    </row>
    <row r="80" ht="19.05" customHeight="1" spans="1:13">
      <c r="A80" s="28">
        <v>77</v>
      </c>
      <c r="B80" s="31" t="s">
        <v>754</v>
      </c>
      <c r="C80" s="28" t="s">
        <v>755</v>
      </c>
      <c r="D80" s="30">
        <v>20</v>
      </c>
      <c r="E80" s="28" t="s">
        <v>542</v>
      </c>
      <c r="F80" s="28"/>
      <c r="G80" s="28"/>
      <c r="H80" s="28">
        <v>180</v>
      </c>
      <c r="I80" s="28">
        <v>150</v>
      </c>
      <c r="J80" s="38" t="s">
        <v>748</v>
      </c>
      <c r="K80" s="39">
        <v>50</v>
      </c>
      <c r="L80" s="37">
        <f t="shared" si="2"/>
        <v>1000</v>
      </c>
      <c r="M80" s="40" t="s">
        <v>546</v>
      </c>
    </row>
    <row r="81" ht="19.05" customHeight="1" spans="1:13">
      <c r="A81" s="28">
        <v>78</v>
      </c>
      <c r="B81" s="28" t="s">
        <v>756</v>
      </c>
      <c r="C81" s="28" t="s">
        <v>756</v>
      </c>
      <c r="D81" s="32">
        <v>4</v>
      </c>
      <c r="E81" s="28" t="s">
        <v>542</v>
      </c>
      <c r="F81" s="28"/>
      <c r="G81" s="28"/>
      <c r="H81" s="28">
        <v>150</v>
      </c>
      <c r="I81" s="28">
        <v>120</v>
      </c>
      <c r="J81" s="38" t="s">
        <v>748</v>
      </c>
      <c r="K81" s="39">
        <v>40</v>
      </c>
      <c r="L81" s="37">
        <f t="shared" si="2"/>
        <v>160</v>
      </c>
      <c r="M81" s="40" t="s">
        <v>546</v>
      </c>
    </row>
    <row r="82" ht="19.05" customHeight="1" spans="1:13">
      <c r="A82" s="28">
        <v>79</v>
      </c>
      <c r="B82" s="31" t="s">
        <v>757</v>
      </c>
      <c r="C82" s="28" t="s">
        <v>758</v>
      </c>
      <c r="D82" s="32">
        <v>41</v>
      </c>
      <c r="E82" s="28" t="s">
        <v>542</v>
      </c>
      <c r="F82" s="28"/>
      <c r="G82" s="28"/>
      <c r="H82" s="28">
        <v>180</v>
      </c>
      <c r="I82" s="28">
        <v>150</v>
      </c>
      <c r="J82" s="38" t="s">
        <v>748</v>
      </c>
      <c r="K82" s="39">
        <v>50</v>
      </c>
      <c r="L82" s="37">
        <f t="shared" si="2"/>
        <v>2050</v>
      </c>
      <c r="M82" s="40" t="s">
        <v>546</v>
      </c>
    </row>
    <row r="83" ht="19.05" customHeight="1" spans="1:13">
      <c r="A83" s="28">
        <v>80</v>
      </c>
      <c r="B83" s="28" t="s">
        <v>759</v>
      </c>
      <c r="C83" s="28" t="s">
        <v>759</v>
      </c>
      <c r="D83" s="30">
        <v>35</v>
      </c>
      <c r="E83" s="28" t="s">
        <v>542</v>
      </c>
      <c r="F83" s="28"/>
      <c r="G83" s="28"/>
      <c r="H83" s="28">
        <v>150</v>
      </c>
      <c r="I83" s="28">
        <v>120</v>
      </c>
      <c r="J83" s="38" t="s">
        <v>748</v>
      </c>
      <c r="K83" s="39">
        <v>40</v>
      </c>
      <c r="L83" s="37">
        <f t="shared" si="2"/>
        <v>1400</v>
      </c>
      <c r="M83" s="40" t="s">
        <v>546</v>
      </c>
    </row>
    <row r="84" ht="19.05" customHeight="1" spans="1:13">
      <c r="A84" s="28">
        <v>81</v>
      </c>
      <c r="B84" s="28" t="s">
        <v>760</v>
      </c>
      <c r="C84" s="31" t="s">
        <v>761</v>
      </c>
      <c r="D84" s="30">
        <v>13</v>
      </c>
      <c r="E84" s="28" t="s">
        <v>542</v>
      </c>
      <c r="F84" s="28"/>
      <c r="G84" s="28"/>
      <c r="H84" s="28">
        <v>180</v>
      </c>
      <c r="I84" s="28">
        <v>150</v>
      </c>
      <c r="J84" s="38" t="s">
        <v>748</v>
      </c>
      <c r="K84" s="39">
        <v>50</v>
      </c>
      <c r="L84" s="37">
        <f t="shared" si="2"/>
        <v>650</v>
      </c>
      <c r="M84" s="40" t="s">
        <v>546</v>
      </c>
    </row>
    <row r="85" ht="19.05" customHeight="1" spans="1:13">
      <c r="A85" s="28">
        <v>82</v>
      </c>
      <c r="B85" s="28" t="s">
        <v>762</v>
      </c>
      <c r="C85" s="28" t="s">
        <v>762</v>
      </c>
      <c r="D85" s="30">
        <v>4</v>
      </c>
      <c r="E85" s="28" t="s">
        <v>542</v>
      </c>
      <c r="F85" s="28"/>
      <c r="G85" s="28"/>
      <c r="H85" s="28">
        <v>150</v>
      </c>
      <c r="I85" s="28">
        <v>120</v>
      </c>
      <c r="J85" s="38" t="s">
        <v>748</v>
      </c>
      <c r="K85" s="39">
        <v>40</v>
      </c>
      <c r="L85" s="37">
        <f t="shared" si="2"/>
        <v>160</v>
      </c>
      <c r="M85" s="40" t="s">
        <v>546</v>
      </c>
    </row>
    <row r="86" ht="19.05" customHeight="1" spans="1:13">
      <c r="A86" s="28">
        <v>83</v>
      </c>
      <c r="B86" s="31" t="s">
        <v>763</v>
      </c>
      <c r="C86" s="28" t="s">
        <v>764</v>
      </c>
      <c r="D86" s="32">
        <v>30</v>
      </c>
      <c r="E86" s="28" t="s">
        <v>542</v>
      </c>
      <c r="F86" s="28"/>
      <c r="G86" s="28"/>
      <c r="H86" s="28">
        <v>180</v>
      </c>
      <c r="I86" s="28">
        <v>150</v>
      </c>
      <c r="J86" s="38" t="s">
        <v>748</v>
      </c>
      <c r="K86" s="39">
        <v>50</v>
      </c>
      <c r="L86" s="37">
        <f t="shared" si="2"/>
        <v>1500</v>
      </c>
      <c r="M86" s="40" t="s">
        <v>546</v>
      </c>
    </row>
    <row r="87" ht="19.05" customHeight="1" spans="1:13">
      <c r="A87" s="28">
        <v>84</v>
      </c>
      <c r="B87" s="31" t="s">
        <v>765</v>
      </c>
      <c r="C87" s="28" t="s">
        <v>766</v>
      </c>
      <c r="D87" s="32">
        <v>13</v>
      </c>
      <c r="E87" s="28" t="s">
        <v>542</v>
      </c>
      <c r="F87" s="28"/>
      <c r="G87" s="28"/>
      <c r="H87" s="28">
        <v>150</v>
      </c>
      <c r="I87" s="28">
        <v>130</v>
      </c>
      <c r="J87" s="38" t="s">
        <v>748</v>
      </c>
      <c r="K87" s="39">
        <v>40</v>
      </c>
      <c r="L87" s="37">
        <f t="shared" si="2"/>
        <v>520</v>
      </c>
      <c r="M87" s="40" t="s">
        <v>546</v>
      </c>
    </row>
    <row r="88" ht="19.05" customHeight="1" spans="1:13">
      <c r="A88" s="28">
        <v>85</v>
      </c>
      <c r="B88" s="31" t="s">
        <v>767</v>
      </c>
      <c r="C88" s="28" t="s">
        <v>767</v>
      </c>
      <c r="D88" s="32">
        <v>13</v>
      </c>
      <c r="E88" s="28" t="s">
        <v>542</v>
      </c>
      <c r="F88" s="28"/>
      <c r="G88" s="28"/>
      <c r="H88" s="28">
        <v>160</v>
      </c>
      <c r="I88" s="28">
        <v>140</v>
      </c>
      <c r="J88" s="38" t="s">
        <v>748</v>
      </c>
      <c r="K88" s="39">
        <v>40</v>
      </c>
      <c r="L88" s="37">
        <f t="shared" si="2"/>
        <v>520</v>
      </c>
      <c r="M88" s="40" t="s">
        <v>546</v>
      </c>
    </row>
    <row r="89" ht="24.75" spans="1:13">
      <c r="A89" s="28">
        <v>86</v>
      </c>
      <c r="B89" s="28" t="s">
        <v>768</v>
      </c>
      <c r="C89" s="31" t="s">
        <v>769</v>
      </c>
      <c r="D89" s="32">
        <v>5</v>
      </c>
      <c r="E89" s="28" t="s">
        <v>542</v>
      </c>
      <c r="F89" s="28"/>
      <c r="G89" s="28"/>
      <c r="H89" s="28">
        <v>100</v>
      </c>
      <c r="I89" s="28">
        <v>80</v>
      </c>
      <c r="J89" s="50" t="s">
        <v>770</v>
      </c>
      <c r="K89" s="39">
        <v>20</v>
      </c>
      <c r="L89" s="37">
        <f t="shared" si="2"/>
        <v>100</v>
      </c>
      <c r="M89" s="40" t="s">
        <v>546</v>
      </c>
    </row>
    <row r="90" spans="1:13">
      <c r="A90" s="28">
        <v>87</v>
      </c>
      <c r="B90" s="31" t="s">
        <v>771</v>
      </c>
      <c r="C90" s="28" t="s">
        <v>771</v>
      </c>
      <c r="D90" s="30">
        <v>6</v>
      </c>
      <c r="E90" s="28" t="s">
        <v>772</v>
      </c>
      <c r="F90" s="28"/>
      <c r="G90" s="28"/>
      <c r="H90" s="28">
        <v>80</v>
      </c>
      <c r="I90" s="28">
        <v>100</v>
      </c>
      <c r="J90" s="38" t="s">
        <v>773</v>
      </c>
      <c r="K90" s="39">
        <v>20</v>
      </c>
      <c r="L90" s="37">
        <f t="shared" si="2"/>
        <v>120</v>
      </c>
      <c r="M90" s="40" t="s">
        <v>546</v>
      </c>
    </row>
    <row r="91" spans="1:13">
      <c r="A91" s="28">
        <v>88</v>
      </c>
      <c r="B91" s="31" t="s">
        <v>774</v>
      </c>
      <c r="C91" s="28" t="s">
        <v>774</v>
      </c>
      <c r="D91" s="30">
        <v>31</v>
      </c>
      <c r="E91" s="28" t="s">
        <v>772</v>
      </c>
      <c r="F91" s="28"/>
      <c r="G91" s="28"/>
      <c r="H91" s="28">
        <v>80</v>
      </c>
      <c r="I91" s="28">
        <v>100</v>
      </c>
      <c r="J91" s="38" t="s">
        <v>775</v>
      </c>
      <c r="K91" s="39">
        <v>20</v>
      </c>
      <c r="L91" s="37">
        <f t="shared" si="2"/>
        <v>620</v>
      </c>
      <c r="M91" s="40" t="s">
        <v>546</v>
      </c>
    </row>
    <row r="92" spans="1:13">
      <c r="A92" s="28">
        <v>89</v>
      </c>
      <c r="B92" s="31" t="s">
        <v>776</v>
      </c>
      <c r="C92" s="28" t="s">
        <v>776</v>
      </c>
      <c r="D92" s="32">
        <v>7</v>
      </c>
      <c r="E92" s="28" t="s">
        <v>772</v>
      </c>
      <c r="F92" s="28"/>
      <c r="G92" s="28"/>
      <c r="H92" s="28">
        <v>80</v>
      </c>
      <c r="I92" s="28">
        <v>60</v>
      </c>
      <c r="J92" s="38" t="s">
        <v>775</v>
      </c>
      <c r="K92" s="39">
        <v>20</v>
      </c>
      <c r="L92" s="37">
        <f t="shared" si="2"/>
        <v>140</v>
      </c>
      <c r="M92" s="40" t="s">
        <v>546</v>
      </c>
    </row>
    <row r="93" spans="1:13">
      <c r="A93" s="28">
        <v>90</v>
      </c>
      <c r="B93" s="31" t="s">
        <v>777</v>
      </c>
      <c r="C93" s="28" t="s">
        <v>777</v>
      </c>
      <c r="D93" s="30">
        <v>6</v>
      </c>
      <c r="E93" s="28" t="s">
        <v>772</v>
      </c>
      <c r="F93" s="28"/>
      <c r="G93" s="28"/>
      <c r="H93" s="28">
        <v>60</v>
      </c>
      <c r="I93" s="28">
        <v>40</v>
      </c>
      <c r="J93" s="38" t="s">
        <v>775</v>
      </c>
      <c r="K93" s="39">
        <v>20</v>
      </c>
      <c r="L93" s="37">
        <f t="shared" si="2"/>
        <v>120</v>
      </c>
      <c r="M93" s="40" t="s">
        <v>546</v>
      </c>
    </row>
    <row r="94" spans="1:13">
      <c r="A94" s="28">
        <v>91</v>
      </c>
      <c r="B94" s="31" t="s">
        <v>778</v>
      </c>
      <c r="C94" s="28" t="s">
        <v>778</v>
      </c>
      <c r="D94" s="32">
        <v>13</v>
      </c>
      <c r="E94" s="28" t="s">
        <v>772</v>
      </c>
      <c r="F94" s="28"/>
      <c r="G94" s="28"/>
      <c r="H94" s="28">
        <v>80</v>
      </c>
      <c r="I94" s="28">
        <v>60</v>
      </c>
      <c r="J94" s="38" t="s">
        <v>775</v>
      </c>
      <c r="K94" s="39">
        <v>20</v>
      </c>
      <c r="L94" s="37">
        <f t="shared" si="2"/>
        <v>260</v>
      </c>
      <c r="M94" s="40" t="s">
        <v>546</v>
      </c>
    </row>
    <row r="95" spans="1:13">
      <c r="A95" s="28">
        <v>92</v>
      </c>
      <c r="B95" s="31" t="s">
        <v>779</v>
      </c>
      <c r="C95" s="28" t="s">
        <v>779</v>
      </c>
      <c r="D95" s="30">
        <v>4</v>
      </c>
      <c r="E95" s="28" t="s">
        <v>772</v>
      </c>
      <c r="F95" s="28"/>
      <c r="G95" s="28"/>
      <c r="H95" s="28">
        <v>100</v>
      </c>
      <c r="I95" s="28">
        <v>100</v>
      </c>
      <c r="J95" s="38" t="s">
        <v>775</v>
      </c>
      <c r="K95" s="39">
        <v>20</v>
      </c>
      <c r="L95" s="37">
        <f t="shared" si="2"/>
        <v>80</v>
      </c>
      <c r="M95" s="40" t="s">
        <v>546</v>
      </c>
    </row>
    <row r="96" spans="1:13">
      <c r="A96" s="28">
        <v>93</v>
      </c>
      <c r="B96" s="28" t="s">
        <v>780</v>
      </c>
      <c r="C96" s="31" t="s">
        <v>780</v>
      </c>
      <c r="D96" s="30">
        <v>6</v>
      </c>
      <c r="E96" s="28" t="s">
        <v>772</v>
      </c>
      <c r="F96" s="28"/>
      <c r="G96" s="28"/>
      <c r="H96" s="28">
        <v>50</v>
      </c>
      <c r="I96" s="28">
        <v>30</v>
      </c>
      <c r="J96" s="38" t="s">
        <v>775</v>
      </c>
      <c r="K96" s="39">
        <v>20</v>
      </c>
      <c r="L96" s="37">
        <f t="shared" si="2"/>
        <v>120</v>
      </c>
      <c r="M96" s="40" t="s">
        <v>546</v>
      </c>
    </row>
    <row r="97" spans="1:13">
      <c r="A97" s="28" t="s">
        <v>781</v>
      </c>
      <c r="B97" s="28"/>
      <c r="C97" s="28"/>
      <c r="D97" s="41"/>
      <c r="E97" s="28"/>
      <c r="F97" s="28"/>
      <c r="G97" s="28"/>
      <c r="H97" s="28"/>
      <c r="K97" s="39"/>
      <c r="L97" s="37"/>
      <c r="M97" s="40"/>
    </row>
    <row r="98" spans="1:13">
      <c r="A98" s="28" t="s">
        <v>1</v>
      </c>
      <c r="B98" s="28" t="s">
        <v>782</v>
      </c>
      <c r="C98" s="28" t="s">
        <v>535</v>
      </c>
      <c r="D98" s="42"/>
      <c r="E98" s="28" t="s">
        <v>28</v>
      </c>
      <c r="F98" s="28"/>
      <c r="G98" s="28"/>
      <c r="H98" s="28" t="s">
        <v>536</v>
      </c>
      <c r="I98" s="28"/>
      <c r="J98" s="38" t="s">
        <v>6</v>
      </c>
      <c r="K98" s="39"/>
      <c r="L98" s="37"/>
      <c r="M98" s="40"/>
    </row>
    <row r="99" spans="1:13">
      <c r="A99" s="28"/>
      <c r="B99" s="28"/>
      <c r="C99" s="28"/>
      <c r="D99" s="43"/>
      <c r="E99" s="28"/>
      <c r="F99" s="28"/>
      <c r="G99" s="28"/>
      <c r="H99" s="28" t="s">
        <v>783</v>
      </c>
      <c r="I99" s="28"/>
      <c r="J99" s="38"/>
      <c r="K99" s="39"/>
      <c r="L99" s="37"/>
      <c r="M99" s="40"/>
    </row>
    <row r="100" ht="23" customHeight="1" spans="1:13">
      <c r="A100" s="28">
        <v>1</v>
      </c>
      <c r="B100" s="28" t="s">
        <v>784</v>
      </c>
      <c r="C100" s="31" t="s">
        <v>785</v>
      </c>
      <c r="D100" s="30">
        <f>3+3+3+2+5+6+3+2+4+5+5+5+21+3+5+7+6+18+3+9+10+5+3+3+30</f>
        <v>169</v>
      </c>
      <c r="E100" s="28" t="s">
        <v>39</v>
      </c>
      <c r="F100" s="28"/>
      <c r="G100" s="28"/>
      <c r="H100" s="28">
        <v>30</v>
      </c>
      <c r="I100" s="28">
        <v>120</v>
      </c>
      <c r="J100" s="38" t="s">
        <v>786</v>
      </c>
      <c r="K100" s="39">
        <v>15</v>
      </c>
      <c r="L100" s="37">
        <f t="shared" si="2"/>
        <v>2535</v>
      </c>
      <c r="M100" s="40" t="s">
        <v>546</v>
      </c>
    </row>
    <row r="101" ht="23" customHeight="1" spans="1:13">
      <c r="A101" s="28">
        <v>2</v>
      </c>
      <c r="B101" s="28"/>
      <c r="C101" s="31" t="s">
        <v>787</v>
      </c>
      <c r="D101" s="33">
        <f>8+8+45+48+42+15+42+31+25+20+41+33+25+57+31+109+174+32+61+54+37+104+48+45+36+56+35+34+25+78+44+61+44+73+27+24+75+58+49+54+37+33+50+43+48+20+76+49+73+58+49+30+19+67+39+68+23+25+27+26+3+10+3+10+26+6+40+22+23+55+27+20+34+18+12+43+51+63+85+87+99</f>
        <v>3505</v>
      </c>
      <c r="E101" s="28" t="s">
        <v>39</v>
      </c>
      <c r="F101" s="28"/>
      <c r="G101" s="28"/>
      <c r="H101" s="28">
        <v>20</v>
      </c>
      <c r="I101" s="28">
        <v>30</v>
      </c>
      <c r="J101" s="51" t="s">
        <v>788</v>
      </c>
      <c r="K101" s="39">
        <v>13</v>
      </c>
      <c r="L101" s="37">
        <f t="shared" ref="L101:L123" si="3">D101*K101</f>
        <v>45565</v>
      </c>
      <c r="M101" s="40" t="s">
        <v>546</v>
      </c>
    </row>
    <row r="102" ht="23" customHeight="1" spans="1:13">
      <c r="A102" s="28">
        <v>3</v>
      </c>
      <c r="B102" s="28"/>
      <c r="C102" s="31" t="s">
        <v>789</v>
      </c>
      <c r="D102" s="32">
        <f>21+39+33+26+44+48+17+31+27+21+18+58+47+36+39+92+24+35+23+12+16+49+23+75+29+28</f>
        <v>911</v>
      </c>
      <c r="E102" s="28" t="s">
        <v>39</v>
      </c>
      <c r="F102" s="28"/>
      <c r="G102" s="28"/>
      <c r="H102" s="28">
        <v>30</v>
      </c>
      <c r="I102" s="28">
        <v>45</v>
      </c>
      <c r="J102" s="51" t="s">
        <v>790</v>
      </c>
      <c r="K102" s="39">
        <v>13</v>
      </c>
      <c r="L102" s="37">
        <f t="shared" si="3"/>
        <v>11843</v>
      </c>
      <c r="M102" s="40" t="s">
        <v>546</v>
      </c>
    </row>
    <row r="103" ht="23" customHeight="1" spans="1:13">
      <c r="A103" s="28">
        <v>4</v>
      </c>
      <c r="B103" s="28"/>
      <c r="C103" s="31" t="s">
        <v>791</v>
      </c>
      <c r="D103" s="33">
        <f>10+10+25+25+16+11+12+25+37+51+23+37+48+63+16+15+109+163+69+11+14+27+35+20+41+62+12+67+9+9+37+69+40+225+16+15+49+39+56+41+38+75+44+61+24+32+49+34+12+11+19+63+60+37+42+20+28+40+18+25+40+15+33+15+14+9+35+14+43+10+10+4+3+3+11+9+9+3+3+3+23+40+32+24+21+29+22+21+41+13+66+80+41+47+52+32+35+7*4+36</f>
        <v>3360</v>
      </c>
      <c r="E103" s="28" t="s">
        <v>39</v>
      </c>
      <c r="F103" s="28"/>
      <c r="G103" s="28"/>
      <c r="H103" s="28">
        <v>20</v>
      </c>
      <c r="I103" s="28">
        <v>30</v>
      </c>
      <c r="J103" s="51" t="s">
        <v>788</v>
      </c>
      <c r="K103" s="39">
        <v>13</v>
      </c>
      <c r="L103" s="37">
        <f t="shared" si="3"/>
        <v>43680</v>
      </c>
      <c r="M103" s="40" t="s">
        <v>546</v>
      </c>
    </row>
    <row r="104" ht="23" customHeight="1" spans="1:13">
      <c r="A104" s="28">
        <v>5</v>
      </c>
      <c r="B104" s="28"/>
      <c r="C104" s="31" t="s">
        <v>792</v>
      </c>
      <c r="D104" s="32">
        <f>40+36+24+15+62+109+2+23+64+128+30+20+24+19+41+35*2+45+42+36+94+46+38+39+28+27+41+36+7+57+17+35+16+92+39+11+68+48+27+29+49</f>
        <v>1674</v>
      </c>
      <c r="E104" s="28" t="s">
        <v>39</v>
      </c>
      <c r="F104" s="28"/>
      <c r="G104" s="28"/>
      <c r="H104" s="28">
        <v>35</v>
      </c>
      <c r="I104" s="28">
        <v>50</v>
      </c>
      <c r="J104" s="51" t="s">
        <v>793</v>
      </c>
      <c r="K104" s="39">
        <v>13</v>
      </c>
      <c r="L104" s="37">
        <f t="shared" si="3"/>
        <v>21762</v>
      </c>
      <c r="M104" s="40" t="s">
        <v>546</v>
      </c>
    </row>
    <row r="105" ht="23" customHeight="1" spans="1:13">
      <c r="A105" s="28">
        <v>6</v>
      </c>
      <c r="B105" s="28"/>
      <c r="C105" s="31" t="s">
        <v>794</v>
      </c>
      <c r="D105" s="32">
        <v>670</v>
      </c>
      <c r="E105" s="28" t="s">
        <v>39</v>
      </c>
      <c r="F105" s="28"/>
      <c r="G105" s="28"/>
      <c r="H105" s="28">
        <v>30</v>
      </c>
      <c r="I105" s="28">
        <v>45</v>
      </c>
      <c r="J105" s="51" t="s">
        <v>790</v>
      </c>
      <c r="K105" s="39">
        <v>13</v>
      </c>
      <c r="L105" s="37">
        <f t="shared" si="3"/>
        <v>8710</v>
      </c>
      <c r="M105" s="40" t="s">
        <v>546</v>
      </c>
    </row>
    <row r="106" ht="23" customHeight="1" spans="1:13">
      <c r="A106" s="28">
        <v>7</v>
      </c>
      <c r="B106" s="28"/>
      <c r="C106" s="31" t="s">
        <v>795</v>
      </c>
      <c r="D106" s="32">
        <v>678</v>
      </c>
      <c r="E106" s="28" t="s">
        <v>39</v>
      </c>
      <c r="F106" s="28"/>
      <c r="G106" s="28"/>
      <c r="H106" s="28">
        <v>25</v>
      </c>
      <c r="I106" s="28">
        <v>30</v>
      </c>
      <c r="J106" s="51" t="s">
        <v>796</v>
      </c>
      <c r="K106" s="39">
        <v>13</v>
      </c>
      <c r="L106" s="37">
        <f t="shared" si="3"/>
        <v>8814</v>
      </c>
      <c r="M106" s="40" t="s">
        <v>546</v>
      </c>
    </row>
    <row r="107" ht="23" customHeight="1" spans="1:13">
      <c r="A107" s="28">
        <v>8</v>
      </c>
      <c r="B107" s="28"/>
      <c r="C107" s="31" t="s">
        <v>797</v>
      </c>
      <c r="D107" s="33">
        <f>52+40+51+80+47+101+48+38+11+38+86+31+77+14+42+43+18+9+16+43+31+45+99+53</f>
        <v>1113</v>
      </c>
      <c r="E107" s="28" t="s">
        <v>39</v>
      </c>
      <c r="F107" s="28"/>
      <c r="G107" s="28"/>
      <c r="H107" s="28">
        <v>30</v>
      </c>
      <c r="I107" s="28">
        <v>45</v>
      </c>
      <c r="J107" s="51" t="s">
        <v>790</v>
      </c>
      <c r="K107" s="39">
        <v>13</v>
      </c>
      <c r="L107" s="37">
        <f t="shared" si="3"/>
        <v>14469</v>
      </c>
      <c r="M107" s="40" t="s">
        <v>546</v>
      </c>
    </row>
    <row r="108" ht="23" customHeight="1" spans="1:13">
      <c r="A108" s="28">
        <v>9</v>
      </c>
      <c r="B108" s="28"/>
      <c r="C108" s="31" t="s">
        <v>798</v>
      </c>
      <c r="D108" s="32">
        <f>36+66+46+18+59+31+49</f>
        <v>305</v>
      </c>
      <c r="E108" s="28" t="s">
        <v>39</v>
      </c>
      <c r="F108" s="28"/>
      <c r="G108" s="28"/>
      <c r="H108" s="28">
        <v>25</v>
      </c>
      <c r="I108" s="28">
        <v>30</v>
      </c>
      <c r="J108" s="51" t="s">
        <v>796</v>
      </c>
      <c r="K108" s="39">
        <v>13</v>
      </c>
      <c r="L108" s="37">
        <f t="shared" si="3"/>
        <v>3965</v>
      </c>
      <c r="M108" s="40" t="s">
        <v>546</v>
      </c>
    </row>
    <row r="109" ht="23" customHeight="1" spans="1:13">
      <c r="A109" s="28">
        <v>10</v>
      </c>
      <c r="B109" s="28"/>
      <c r="C109" s="31" t="s">
        <v>799</v>
      </c>
      <c r="D109" s="33">
        <f>44+45+36+56+27+22+54+13+13+35</f>
        <v>345</v>
      </c>
      <c r="E109" s="28" t="s">
        <v>39</v>
      </c>
      <c r="F109" s="28"/>
      <c r="G109" s="28"/>
      <c r="H109" s="28">
        <v>30</v>
      </c>
      <c r="I109" s="28">
        <v>45</v>
      </c>
      <c r="J109" s="51" t="s">
        <v>790</v>
      </c>
      <c r="K109" s="39">
        <v>13</v>
      </c>
      <c r="L109" s="37">
        <f t="shared" si="3"/>
        <v>4485</v>
      </c>
      <c r="M109" s="40" t="s">
        <v>546</v>
      </c>
    </row>
    <row r="110" ht="23" customHeight="1" spans="1:13">
      <c r="A110" s="28">
        <v>11</v>
      </c>
      <c r="B110" s="28"/>
      <c r="C110" s="31" t="s">
        <v>800</v>
      </c>
      <c r="D110" s="30">
        <f>23+79+13+35+20+22+24+48+31</f>
        <v>295</v>
      </c>
      <c r="E110" s="28" t="s">
        <v>39</v>
      </c>
      <c r="F110" s="28"/>
      <c r="G110" s="28"/>
      <c r="H110" s="28">
        <v>25</v>
      </c>
      <c r="I110" s="28">
        <v>30</v>
      </c>
      <c r="J110" s="51" t="s">
        <v>796</v>
      </c>
      <c r="K110" s="39">
        <v>13</v>
      </c>
      <c r="L110" s="37">
        <f t="shared" si="3"/>
        <v>3835</v>
      </c>
      <c r="M110" s="40" t="s">
        <v>546</v>
      </c>
    </row>
    <row r="111" ht="23" customHeight="1" spans="1:13">
      <c r="A111" s="28">
        <v>12</v>
      </c>
      <c r="B111" s="28" t="s">
        <v>801</v>
      </c>
      <c r="C111" s="31" t="s">
        <v>802</v>
      </c>
      <c r="D111" s="30">
        <v>6</v>
      </c>
      <c r="E111" s="28" t="s">
        <v>39</v>
      </c>
      <c r="F111" s="28"/>
      <c r="G111" s="28"/>
      <c r="H111" s="28">
        <v>15</v>
      </c>
      <c r="I111" s="28">
        <v>30</v>
      </c>
      <c r="J111" s="51" t="s">
        <v>803</v>
      </c>
      <c r="K111" s="39">
        <v>13</v>
      </c>
      <c r="L111" s="37">
        <f t="shared" si="3"/>
        <v>78</v>
      </c>
      <c r="M111" s="40" t="s">
        <v>546</v>
      </c>
    </row>
    <row r="112" ht="23" customHeight="1" spans="1:13">
      <c r="A112" s="28">
        <v>13</v>
      </c>
      <c r="B112" s="28"/>
      <c r="C112" s="31" t="s">
        <v>804</v>
      </c>
      <c r="D112" s="30">
        <f>2+3+3+2*3+1+1+2+2+10</f>
        <v>30</v>
      </c>
      <c r="E112" s="28" t="s">
        <v>39</v>
      </c>
      <c r="F112" s="28"/>
      <c r="G112" s="28"/>
      <c r="H112" s="28">
        <v>30</v>
      </c>
      <c r="I112" s="28">
        <v>50</v>
      </c>
      <c r="J112" s="38" t="s">
        <v>786</v>
      </c>
      <c r="K112" s="39">
        <v>13</v>
      </c>
      <c r="L112" s="37">
        <f t="shared" si="3"/>
        <v>390</v>
      </c>
      <c r="M112" s="40" t="s">
        <v>546</v>
      </c>
    </row>
    <row r="113" ht="23" customHeight="1" spans="1:13">
      <c r="A113" s="28">
        <v>14</v>
      </c>
      <c r="B113" s="28" t="s">
        <v>805</v>
      </c>
      <c r="C113" s="31" t="s">
        <v>806</v>
      </c>
      <c r="D113" s="30">
        <f>4+7+11+4</f>
        <v>26</v>
      </c>
      <c r="E113" s="28" t="s">
        <v>39</v>
      </c>
      <c r="F113" s="28"/>
      <c r="G113" s="28"/>
      <c r="H113" s="28" t="s">
        <v>807</v>
      </c>
      <c r="I113" s="28">
        <v>70</v>
      </c>
      <c r="J113" s="38" t="s">
        <v>808</v>
      </c>
      <c r="K113" s="39">
        <v>13</v>
      </c>
      <c r="L113" s="37">
        <f t="shared" si="3"/>
        <v>338</v>
      </c>
      <c r="M113" s="40" t="s">
        <v>546</v>
      </c>
    </row>
    <row r="114" ht="23" customHeight="1" spans="1:13">
      <c r="A114" s="28">
        <v>15</v>
      </c>
      <c r="B114" s="28"/>
      <c r="C114" s="31" t="s">
        <v>809</v>
      </c>
      <c r="D114" s="30">
        <v>12</v>
      </c>
      <c r="E114" s="28" t="s">
        <v>39</v>
      </c>
      <c r="F114" s="28"/>
      <c r="G114" s="28"/>
      <c r="H114" s="28" t="s">
        <v>807</v>
      </c>
      <c r="I114" s="28">
        <v>80</v>
      </c>
      <c r="J114" s="51" t="s">
        <v>810</v>
      </c>
      <c r="K114" s="39">
        <v>13</v>
      </c>
      <c r="L114" s="37">
        <f t="shared" si="3"/>
        <v>156</v>
      </c>
      <c r="M114" s="40" t="s">
        <v>546</v>
      </c>
    </row>
    <row r="115" ht="23" customHeight="1" spans="1:13">
      <c r="A115" s="28">
        <v>16</v>
      </c>
      <c r="B115" s="28"/>
      <c r="C115" s="31" t="s">
        <v>811</v>
      </c>
      <c r="D115" s="30">
        <v>10</v>
      </c>
      <c r="E115" s="28" t="s">
        <v>39</v>
      </c>
      <c r="F115" s="28"/>
      <c r="G115" s="28"/>
      <c r="H115" s="28" t="s">
        <v>812</v>
      </c>
      <c r="I115" s="28">
        <v>45</v>
      </c>
      <c r="J115" s="51" t="s">
        <v>810</v>
      </c>
      <c r="K115" s="39">
        <v>13</v>
      </c>
      <c r="L115" s="37">
        <f t="shared" si="3"/>
        <v>130</v>
      </c>
      <c r="M115" s="40" t="s">
        <v>546</v>
      </c>
    </row>
    <row r="116" ht="23" customHeight="1" spans="1:13">
      <c r="A116" s="28">
        <v>17</v>
      </c>
      <c r="B116" s="28"/>
      <c r="C116" s="31" t="s">
        <v>813</v>
      </c>
      <c r="D116" s="30">
        <f>43+13+15+9+7+12+7</f>
        <v>106</v>
      </c>
      <c r="E116" s="28" t="s">
        <v>39</v>
      </c>
      <c r="F116" s="28"/>
      <c r="G116" s="28"/>
      <c r="H116" s="28" t="s">
        <v>812</v>
      </c>
      <c r="I116" s="28">
        <v>45</v>
      </c>
      <c r="J116" s="51" t="s">
        <v>810</v>
      </c>
      <c r="K116" s="39">
        <v>13</v>
      </c>
      <c r="L116" s="37">
        <f t="shared" si="3"/>
        <v>1378</v>
      </c>
      <c r="M116" s="40" t="s">
        <v>546</v>
      </c>
    </row>
    <row r="117" ht="23" customHeight="1" spans="1:13">
      <c r="A117" s="28">
        <v>18</v>
      </c>
      <c r="B117" s="28"/>
      <c r="C117" s="31" t="s">
        <v>814</v>
      </c>
      <c r="D117" s="30">
        <v>15</v>
      </c>
      <c r="E117" s="28" t="s">
        <v>39</v>
      </c>
      <c r="F117" s="28"/>
      <c r="G117" s="28"/>
      <c r="H117" s="28">
        <v>20</v>
      </c>
      <c r="I117" s="28">
        <v>35</v>
      </c>
      <c r="J117" s="38" t="s">
        <v>815</v>
      </c>
      <c r="K117" s="39">
        <v>13</v>
      </c>
      <c r="L117" s="37">
        <f t="shared" si="3"/>
        <v>195</v>
      </c>
      <c r="M117" s="40" t="s">
        <v>546</v>
      </c>
    </row>
    <row r="118" ht="23" customHeight="1" spans="1:13">
      <c r="A118" s="28">
        <v>19</v>
      </c>
      <c r="B118" s="28" t="s">
        <v>816</v>
      </c>
      <c r="C118" s="31" t="s">
        <v>817</v>
      </c>
      <c r="D118" s="30">
        <f>22+70+16+56+91+5</f>
        <v>260</v>
      </c>
      <c r="E118" s="28" t="s">
        <v>39</v>
      </c>
      <c r="F118" s="28"/>
      <c r="G118" s="28"/>
      <c r="H118" s="28"/>
      <c r="I118" s="28">
        <v>12</v>
      </c>
      <c r="J118" s="38" t="s">
        <v>818</v>
      </c>
      <c r="K118" s="39">
        <v>13</v>
      </c>
      <c r="L118" s="37">
        <f t="shared" si="3"/>
        <v>3380</v>
      </c>
      <c r="M118" s="40" t="s">
        <v>546</v>
      </c>
    </row>
    <row r="119" ht="23" customHeight="1" spans="1:13">
      <c r="A119" s="28">
        <v>20</v>
      </c>
      <c r="B119" s="28"/>
      <c r="C119" s="31" t="s">
        <v>819</v>
      </c>
      <c r="D119" s="30">
        <f>46+37+9+26</f>
        <v>118</v>
      </c>
      <c r="E119" s="28" t="s">
        <v>39</v>
      </c>
      <c r="F119" s="44"/>
      <c r="G119" s="44"/>
      <c r="H119" s="44">
        <v>15</v>
      </c>
      <c r="I119" s="44">
        <v>15</v>
      </c>
      <c r="J119" s="52" t="s">
        <v>820</v>
      </c>
      <c r="K119" s="39">
        <v>13</v>
      </c>
      <c r="L119" s="37">
        <f t="shared" si="3"/>
        <v>1534</v>
      </c>
      <c r="M119" s="40" t="s">
        <v>546</v>
      </c>
    </row>
    <row r="120" ht="39" customHeight="1" spans="1:13">
      <c r="A120" s="28">
        <v>21</v>
      </c>
      <c r="B120" s="28"/>
      <c r="C120" s="31" t="s">
        <v>821</v>
      </c>
      <c r="D120" s="33">
        <f>225+153+5+22+24+6+5+22+180+6+21+217+1824+32+3+110+214+30+46+26+143+25+225+162+143+374+247+582+44+5+56+5+16+24+12+4+5+6+94+1600+126+47+175+268+92+6+5+10+12+99+160+149+130+231+5+254+695+216+209+88+6+47+9+156+271+75+576+36+26+45+656+228+1009+1250+728+1525+30+11+152+367+4+4</f>
        <v>17131</v>
      </c>
      <c r="E120" s="28" t="s">
        <v>39</v>
      </c>
      <c r="F120" s="31" t="s">
        <v>822</v>
      </c>
      <c r="G120" s="28"/>
      <c r="H120" s="28"/>
      <c r="I120" s="28"/>
      <c r="J120" s="38"/>
      <c r="K120" s="36">
        <v>3.5</v>
      </c>
      <c r="L120" s="37">
        <f t="shared" si="3"/>
        <v>59958.5</v>
      </c>
      <c r="M120" s="40" t="s">
        <v>546</v>
      </c>
    </row>
    <row r="121" ht="25.5" spans="1:13">
      <c r="A121" s="28">
        <v>22</v>
      </c>
      <c r="B121" s="28"/>
      <c r="C121" s="28" t="s">
        <v>823</v>
      </c>
      <c r="D121" s="41">
        <v>83</v>
      </c>
      <c r="E121" s="28" t="s">
        <v>824</v>
      </c>
      <c r="F121" s="31" t="s">
        <v>825</v>
      </c>
      <c r="G121" s="28"/>
      <c r="H121" s="28"/>
      <c r="I121" s="28"/>
      <c r="J121" s="38"/>
      <c r="K121" s="36">
        <v>0</v>
      </c>
      <c r="L121" s="37">
        <f t="shared" si="3"/>
        <v>0</v>
      </c>
      <c r="M121" s="40" t="s">
        <v>36</v>
      </c>
    </row>
    <row r="122" ht="25.5" spans="1:13">
      <c r="A122" s="28">
        <v>23</v>
      </c>
      <c r="B122" s="28"/>
      <c r="C122" s="28" t="s">
        <v>826</v>
      </c>
      <c r="D122" s="45">
        <f>1.2*0.5*0.8*70*2.5</f>
        <v>84</v>
      </c>
      <c r="E122" s="28" t="s">
        <v>824</v>
      </c>
      <c r="F122" s="28" t="s">
        <v>827</v>
      </c>
      <c r="G122" s="28"/>
      <c r="H122" s="28"/>
      <c r="I122" s="28"/>
      <c r="J122" s="38"/>
      <c r="K122" s="36">
        <v>0</v>
      </c>
      <c r="L122" s="37">
        <f t="shared" si="3"/>
        <v>0</v>
      </c>
      <c r="M122" s="40" t="s">
        <v>36</v>
      </c>
    </row>
    <row r="123" ht="21" customHeight="1" spans="1:13">
      <c r="A123" s="28">
        <v>24</v>
      </c>
      <c r="B123" s="46"/>
      <c r="C123" s="47" t="s">
        <v>828</v>
      </c>
      <c r="D123" s="48">
        <f>SUM(D100:D122)</f>
        <v>30906</v>
      </c>
      <c r="E123" s="28" t="s">
        <v>39</v>
      </c>
      <c r="F123" s="46"/>
      <c r="G123" s="46"/>
      <c r="H123" s="46"/>
      <c r="I123" s="46"/>
      <c r="J123" s="53"/>
      <c r="K123" s="36">
        <v>25</v>
      </c>
      <c r="L123" s="37">
        <f t="shared" si="3"/>
        <v>772650</v>
      </c>
      <c r="M123" s="40" t="s">
        <v>46</v>
      </c>
    </row>
    <row r="124" ht="25.05" customHeight="1" spans="1:13">
      <c r="A124" s="46"/>
      <c r="B124" s="46"/>
      <c r="C124" s="47" t="s">
        <v>16</v>
      </c>
      <c r="D124" s="49"/>
      <c r="E124" s="46"/>
      <c r="F124" s="46"/>
      <c r="G124" s="46"/>
      <c r="H124" s="46"/>
      <c r="I124" s="46"/>
      <c r="J124" s="53"/>
      <c r="K124" s="54"/>
      <c r="L124" s="37">
        <f>SUM(L4:L123)</f>
        <v>1229230.5</v>
      </c>
      <c r="M124" s="55"/>
    </row>
  </sheetData>
  <sheetProtection password="C71F" sheet="1" objects="1"/>
  <autoFilter ref="A3:M124">
    <extLst/>
  </autoFilter>
  <mergeCells count="26">
    <mergeCell ref="A1:M1"/>
    <mergeCell ref="F2:I2"/>
    <mergeCell ref="A97:H97"/>
    <mergeCell ref="H98:I98"/>
    <mergeCell ref="H99:I99"/>
    <mergeCell ref="F120:J120"/>
    <mergeCell ref="F121:J121"/>
    <mergeCell ref="F122:J122"/>
    <mergeCell ref="A2:A3"/>
    <mergeCell ref="A98:A99"/>
    <mergeCell ref="B2:B3"/>
    <mergeCell ref="B98:B99"/>
    <mergeCell ref="B100:B110"/>
    <mergeCell ref="B111:B112"/>
    <mergeCell ref="B113:B117"/>
    <mergeCell ref="B118:B120"/>
    <mergeCell ref="C2:C3"/>
    <mergeCell ref="C98:C99"/>
    <mergeCell ref="D2:D3"/>
    <mergeCell ref="E2:E3"/>
    <mergeCell ref="E98:E99"/>
    <mergeCell ref="J2:J3"/>
    <mergeCell ref="J98:J99"/>
    <mergeCell ref="K2:K3"/>
    <mergeCell ref="L2:L3"/>
    <mergeCell ref="M2:M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5"/>
  <sheetViews>
    <sheetView workbookViewId="0">
      <pane ySplit="2" topLeftCell="A38" activePane="bottomLeft" state="frozen"/>
      <selection/>
      <selection pane="bottomLeft" activeCell="K47" sqref="K47"/>
    </sheetView>
  </sheetViews>
  <sheetFormatPr defaultColWidth="9" defaultRowHeight="14.25" outlineLevelCol="6"/>
  <cols>
    <col min="1" max="1" width="7.125" style="1" customWidth="1"/>
    <col min="2" max="2" width="22.4" style="2" customWidth="1"/>
    <col min="3" max="3" width="14.8666666666667" style="2" customWidth="1"/>
    <col min="4" max="4" width="9" style="1"/>
    <col min="5" max="5" width="16" style="19" customWidth="1"/>
    <col min="6" max="6" width="16.25" style="19" customWidth="1"/>
    <col min="7" max="7" width="14.125" style="3" customWidth="1"/>
    <col min="8" max="16384" width="9" style="20"/>
  </cols>
  <sheetData>
    <row r="1" ht="33" customHeight="1" spans="1:7">
      <c r="A1" s="4" t="s">
        <v>829</v>
      </c>
      <c r="B1" s="4"/>
      <c r="C1" s="4"/>
      <c r="D1" s="4"/>
      <c r="E1" s="4"/>
      <c r="F1" s="4"/>
      <c r="G1" s="4"/>
    </row>
    <row r="2" s="1" customFormat="1" ht="41" customHeight="1" spans="1:7">
      <c r="A2" s="5" t="s">
        <v>1</v>
      </c>
      <c r="B2" s="6" t="s">
        <v>2</v>
      </c>
      <c r="C2" s="6" t="s">
        <v>28</v>
      </c>
      <c r="D2" s="5" t="s">
        <v>29</v>
      </c>
      <c r="E2" s="7" t="s">
        <v>30</v>
      </c>
      <c r="F2" s="7" t="s">
        <v>31</v>
      </c>
      <c r="G2" s="8" t="s">
        <v>6</v>
      </c>
    </row>
    <row r="3" s="18" customFormat="1" ht="25" customHeight="1" spans="1:7">
      <c r="A3" s="12"/>
      <c r="B3" s="13" t="s">
        <v>830</v>
      </c>
      <c r="C3" s="6"/>
      <c r="D3" s="5"/>
      <c r="E3" s="8"/>
      <c r="F3" s="8"/>
      <c r="G3" s="8"/>
    </row>
    <row r="4" ht="25" customHeight="1" spans="1:7">
      <c r="A4" s="5">
        <v>1</v>
      </c>
      <c r="B4" s="6" t="s">
        <v>831</v>
      </c>
      <c r="C4" s="6" t="s">
        <v>35</v>
      </c>
      <c r="D4" s="5">
        <v>977.22</v>
      </c>
      <c r="E4" s="8">
        <v>12.403</v>
      </c>
      <c r="F4" s="8">
        <f>D4*E4</f>
        <v>12120.45966</v>
      </c>
      <c r="G4" s="8" t="s">
        <v>46</v>
      </c>
    </row>
    <row r="5" ht="25" customHeight="1" spans="1:7">
      <c r="A5" s="5">
        <v>2</v>
      </c>
      <c r="B5" s="6" t="s">
        <v>832</v>
      </c>
      <c r="C5" s="6" t="s">
        <v>35</v>
      </c>
      <c r="D5" s="5">
        <f>86.63+13.4+35.4+53.8+5+28.57+19.65+29.8+58+54.15+49.6+54.13+39.6+97.8</f>
        <v>625.53</v>
      </c>
      <c r="E5" s="8">
        <v>24.855</v>
      </c>
      <c r="F5" s="8">
        <f t="shared" ref="F5:F36" si="0">D5*E5</f>
        <v>15547.54815</v>
      </c>
      <c r="G5" s="8" t="s">
        <v>46</v>
      </c>
    </row>
    <row r="6" ht="25" customHeight="1" spans="1:7">
      <c r="A6" s="5">
        <v>3</v>
      </c>
      <c r="B6" s="6" t="s">
        <v>833</v>
      </c>
      <c r="C6" s="6" t="s">
        <v>35</v>
      </c>
      <c r="D6" s="5">
        <f>101.34+56.62</f>
        <v>157.96</v>
      </c>
      <c r="E6" s="8">
        <v>36.57</v>
      </c>
      <c r="F6" s="8">
        <f t="shared" si="0"/>
        <v>5776.5972</v>
      </c>
      <c r="G6" s="8" t="s">
        <v>46</v>
      </c>
    </row>
    <row r="7" ht="25" customHeight="1" spans="1:7">
      <c r="A7" s="5">
        <v>4</v>
      </c>
      <c r="B7" s="6" t="s">
        <v>834</v>
      </c>
      <c r="C7" s="6" t="s">
        <v>35</v>
      </c>
      <c r="D7" s="5">
        <v>165</v>
      </c>
      <c r="E7" s="8">
        <v>49.33</v>
      </c>
      <c r="F7" s="8">
        <f t="shared" si="0"/>
        <v>8139.45</v>
      </c>
      <c r="G7" s="8" t="s">
        <v>46</v>
      </c>
    </row>
    <row r="8" ht="25" customHeight="1" spans="1:7">
      <c r="A8" s="5">
        <v>5</v>
      </c>
      <c r="B8" s="6" t="s">
        <v>835</v>
      </c>
      <c r="C8" s="6" t="s">
        <v>35</v>
      </c>
      <c r="D8" s="5">
        <f>205+5.73+20.75</f>
        <v>231.48</v>
      </c>
      <c r="E8" s="8">
        <v>66.82</v>
      </c>
      <c r="F8" s="8">
        <f t="shared" si="0"/>
        <v>15467.4936</v>
      </c>
      <c r="G8" s="8" t="s">
        <v>46</v>
      </c>
    </row>
    <row r="9" ht="25" customHeight="1" spans="1:7">
      <c r="A9" s="5">
        <v>6</v>
      </c>
      <c r="B9" s="6" t="s">
        <v>836</v>
      </c>
      <c r="C9" s="6" t="s">
        <v>35</v>
      </c>
      <c r="D9" s="9">
        <v>428</v>
      </c>
      <c r="E9" s="8">
        <v>60</v>
      </c>
      <c r="F9" s="8">
        <f t="shared" si="0"/>
        <v>25680</v>
      </c>
      <c r="G9" s="8" t="s">
        <v>46</v>
      </c>
    </row>
    <row r="10" ht="25" customHeight="1" spans="1:7">
      <c r="A10" s="5">
        <v>7</v>
      </c>
      <c r="B10" s="6" t="s">
        <v>837</v>
      </c>
      <c r="C10" s="6" t="s">
        <v>200</v>
      </c>
      <c r="D10" s="9">
        <v>1</v>
      </c>
      <c r="E10" s="8">
        <v>142</v>
      </c>
      <c r="F10" s="8">
        <f t="shared" si="0"/>
        <v>142</v>
      </c>
      <c r="G10" s="8" t="s">
        <v>46</v>
      </c>
    </row>
    <row r="11" ht="25" customHeight="1" spans="1:7">
      <c r="A11" s="5">
        <v>8</v>
      </c>
      <c r="B11" s="6" t="s">
        <v>838</v>
      </c>
      <c r="C11" s="6" t="s">
        <v>200</v>
      </c>
      <c r="D11" s="9">
        <v>2</v>
      </c>
      <c r="E11" s="8">
        <v>175</v>
      </c>
      <c r="F11" s="8">
        <f t="shared" si="0"/>
        <v>350</v>
      </c>
      <c r="G11" s="8" t="s">
        <v>46</v>
      </c>
    </row>
    <row r="12" ht="25" customHeight="1" spans="1:7">
      <c r="A12" s="5">
        <v>9</v>
      </c>
      <c r="B12" s="6" t="s">
        <v>839</v>
      </c>
      <c r="C12" s="6" t="s">
        <v>417</v>
      </c>
      <c r="D12" s="5">
        <v>110</v>
      </c>
      <c r="E12" s="8">
        <v>165</v>
      </c>
      <c r="F12" s="8">
        <f t="shared" si="0"/>
        <v>18150</v>
      </c>
      <c r="G12" s="8" t="s">
        <v>46</v>
      </c>
    </row>
    <row r="13" ht="36" customHeight="1" spans="1:7">
      <c r="A13" s="5">
        <v>10</v>
      </c>
      <c r="B13" s="6" t="s">
        <v>840</v>
      </c>
      <c r="C13" s="6" t="s">
        <v>417</v>
      </c>
      <c r="D13" s="5">
        <v>2</v>
      </c>
      <c r="E13" s="8">
        <v>480</v>
      </c>
      <c r="F13" s="8">
        <f t="shared" si="0"/>
        <v>960</v>
      </c>
      <c r="G13" s="8" t="s">
        <v>46</v>
      </c>
    </row>
    <row r="14" ht="31" customHeight="1" spans="1:7">
      <c r="A14" s="5">
        <v>11</v>
      </c>
      <c r="B14" s="6" t="s">
        <v>841</v>
      </c>
      <c r="C14" s="6" t="s">
        <v>417</v>
      </c>
      <c r="D14" s="5">
        <v>1</v>
      </c>
      <c r="E14" s="8">
        <v>450</v>
      </c>
      <c r="F14" s="8">
        <f t="shared" si="0"/>
        <v>450</v>
      </c>
      <c r="G14" s="8" t="s">
        <v>46</v>
      </c>
    </row>
    <row r="15" ht="25" customHeight="1" spans="1:7">
      <c r="A15" s="5">
        <v>12</v>
      </c>
      <c r="B15" s="6" t="s">
        <v>842</v>
      </c>
      <c r="C15" s="6" t="s">
        <v>417</v>
      </c>
      <c r="D15" s="5">
        <v>1</v>
      </c>
      <c r="E15" s="8">
        <v>360</v>
      </c>
      <c r="F15" s="8">
        <f t="shared" si="0"/>
        <v>360</v>
      </c>
      <c r="G15" s="8" t="s">
        <v>46</v>
      </c>
    </row>
    <row r="16" ht="25" customHeight="1" spans="1:7">
      <c r="A16" s="5">
        <v>13</v>
      </c>
      <c r="B16" s="6" t="s">
        <v>843</v>
      </c>
      <c r="C16" s="6" t="s">
        <v>417</v>
      </c>
      <c r="D16" s="5">
        <v>1</v>
      </c>
      <c r="E16" s="8">
        <v>2500</v>
      </c>
      <c r="F16" s="8">
        <f t="shared" si="0"/>
        <v>2500</v>
      </c>
      <c r="G16" s="8" t="s">
        <v>46</v>
      </c>
    </row>
    <row r="17" ht="25" customHeight="1" spans="1:7">
      <c r="A17" s="5">
        <v>14</v>
      </c>
      <c r="B17" s="6" t="s">
        <v>844</v>
      </c>
      <c r="C17" s="6" t="s">
        <v>464</v>
      </c>
      <c r="D17" s="5">
        <v>1</v>
      </c>
      <c r="E17" s="8">
        <v>5500</v>
      </c>
      <c r="F17" s="8">
        <f t="shared" si="0"/>
        <v>5500</v>
      </c>
      <c r="G17" s="8" t="s">
        <v>46</v>
      </c>
    </row>
    <row r="18" ht="25" customHeight="1" spans="1:7">
      <c r="A18" s="5">
        <v>15</v>
      </c>
      <c r="B18" s="6" t="s">
        <v>845</v>
      </c>
      <c r="C18" s="6" t="s">
        <v>45</v>
      </c>
      <c r="D18" s="5">
        <f>2163*0.45</f>
        <v>973.35</v>
      </c>
      <c r="E18" s="8">
        <v>12.5</v>
      </c>
      <c r="F18" s="8">
        <f t="shared" si="0"/>
        <v>12166.875</v>
      </c>
      <c r="G18" s="8" t="s">
        <v>46</v>
      </c>
    </row>
    <row r="19" ht="25" customHeight="1" spans="1:7">
      <c r="A19" s="12"/>
      <c r="B19" s="13" t="s">
        <v>846</v>
      </c>
      <c r="C19" s="6"/>
      <c r="D19" s="5"/>
      <c r="E19" s="8">
        <v>0</v>
      </c>
      <c r="F19" s="8">
        <f t="shared" si="0"/>
        <v>0</v>
      </c>
      <c r="G19" s="8" t="s">
        <v>46</v>
      </c>
    </row>
    <row r="20" ht="27" spans="1:7">
      <c r="A20" s="5">
        <v>16</v>
      </c>
      <c r="B20" s="11" t="s">
        <v>847</v>
      </c>
      <c r="C20" s="6" t="s">
        <v>35</v>
      </c>
      <c r="D20" s="5">
        <f>1.61+2.2+4.03</f>
        <v>7.84</v>
      </c>
      <c r="E20" s="8">
        <v>25.35</v>
      </c>
      <c r="F20" s="8">
        <f t="shared" si="0"/>
        <v>198.744</v>
      </c>
      <c r="G20" s="8" t="s">
        <v>46</v>
      </c>
    </row>
    <row r="21" ht="25" customHeight="1" spans="1:7">
      <c r="A21" s="5">
        <v>17</v>
      </c>
      <c r="B21" s="6" t="s">
        <v>848</v>
      </c>
      <c r="C21" s="6" t="s">
        <v>35</v>
      </c>
      <c r="D21" s="5">
        <f>0.81+0.56+18.09</f>
        <v>19.46</v>
      </c>
      <c r="E21" s="8">
        <v>73.75</v>
      </c>
      <c r="F21" s="8">
        <f t="shared" si="0"/>
        <v>1435.175</v>
      </c>
      <c r="G21" s="8" t="s">
        <v>46</v>
      </c>
    </row>
    <row r="22" ht="40.5" spans="1:7">
      <c r="A22" s="5">
        <v>18</v>
      </c>
      <c r="B22" s="11" t="s">
        <v>849</v>
      </c>
      <c r="C22" s="6" t="s">
        <v>35</v>
      </c>
      <c r="D22" s="5">
        <v>2.72</v>
      </c>
      <c r="E22" s="8">
        <v>93.8</v>
      </c>
      <c r="F22" s="8">
        <f t="shared" si="0"/>
        <v>255.136</v>
      </c>
      <c r="G22" s="8" t="s">
        <v>46</v>
      </c>
    </row>
    <row r="23" ht="25" customHeight="1" spans="1:7">
      <c r="A23" s="5">
        <v>19</v>
      </c>
      <c r="B23" s="6" t="s">
        <v>850</v>
      </c>
      <c r="C23" s="6" t="s">
        <v>35</v>
      </c>
      <c r="D23" s="5">
        <f>1.14+4.87</f>
        <v>6.01</v>
      </c>
      <c r="E23" s="8">
        <v>73</v>
      </c>
      <c r="F23" s="8">
        <f t="shared" si="0"/>
        <v>438.73</v>
      </c>
      <c r="G23" s="8" t="s">
        <v>46</v>
      </c>
    </row>
    <row r="24" ht="25" customHeight="1" spans="1:7">
      <c r="A24" s="5">
        <v>20</v>
      </c>
      <c r="B24" s="6" t="s">
        <v>851</v>
      </c>
      <c r="C24" s="6" t="s">
        <v>35</v>
      </c>
      <c r="D24" s="5">
        <f>1.14+3.26</f>
        <v>4.4</v>
      </c>
      <c r="E24" s="8">
        <v>105</v>
      </c>
      <c r="F24" s="8">
        <f t="shared" si="0"/>
        <v>462</v>
      </c>
      <c r="G24" s="8" t="s">
        <v>46</v>
      </c>
    </row>
    <row r="25" ht="25" customHeight="1" spans="1:7">
      <c r="A25" s="5">
        <v>21</v>
      </c>
      <c r="B25" s="6" t="s">
        <v>852</v>
      </c>
      <c r="C25" s="6" t="s">
        <v>35</v>
      </c>
      <c r="D25" s="5">
        <v>1.61</v>
      </c>
      <c r="E25" s="8">
        <v>105</v>
      </c>
      <c r="F25" s="8">
        <f t="shared" si="0"/>
        <v>169.05</v>
      </c>
      <c r="G25" s="8" t="s">
        <v>46</v>
      </c>
    </row>
    <row r="26" ht="25" customHeight="1" spans="1:7">
      <c r="A26" s="5">
        <v>22</v>
      </c>
      <c r="B26" s="6" t="s">
        <v>853</v>
      </c>
      <c r="C26" s="6" t="s">
        <v>175</v>
      </c>
      <c r="D26" s="5">
        <v>1</v>
      </c>
      <c r="E26" s="8">
        <v>2630</v>
      </c>
      <c r="F26" s="8">
        <f t="shared" si="0"/>
        <v>2630</v>
      </c>
      <c r="G26" s="8" t="s">
        <v>46</v>
      </c>
    </row>
    <row r="27" ht="25" customHeight="1" spans="1:7">
      <c r="A27" s="5">
        <v>23</v>
      </c>
      <c r="B27" s="6" t="s">
        <v>854</v>
      </c>
      <c r="C27" s="6" t="s">
        <v>175</v>
      </c>
      <c r="D27" s="5">
        <v>2</v>
      </c>
      <c r="E27" s="8">
        <v>680</v>
      </c>
      <c r="F27" s="8">
        <f t="shared" si="0"/>
        <v>1360</v>
      </c>
      <c r="G27" s="8" t="s">
        <v>46</v>
      </c>
    </row>
    <row r="28" ht="25" customHeight="1" spans="1:7">
      <c r="A28" s="5">
        <v>24</v>
      </c>
      <c r="B28" s="11" t="s">
        <v>855</v>
      </c>
      <c r="C28" s="6" t="s">
        <v>175</v>
      </c>
      <c r="D28" s="5">
        <v>1</v>
      </c>
      <c r="E28" s="8">
        <v>650</v>
      </c>
      <c r="F28" s="8">
        <f t="shared" si="0"/>
        <v>650</v>
      </c>
      <c r="G28" s="8" t="s">
        <v>46</v>
      </c>
    </row>
    <row r="29" ht="25" customHeight="1" spans="1:7">
      <c r="A29" s="5">
        <v>25</v>
      </c>
      <c r="B29" s="11" t="s">
        <v>856</v>
      </c>
      <c r="C29" s="6" t="s">
        <v>175</v>
      </c>
      <c r="D29" s="5">
        <v>1</v>
      </c>
      <c r="E29" s="8">
        <v>260</v>
      </c>
      <c r="F29" s="8">
        <f t="shared" si="0"/>
        <v>260</v>
      </c>
      <c r="G29" s="8" t="s">
        <v>46</v>
      </c>
    </row>
    <row r="30" ht="25" customHeight="1" spans="1:7">
      <c r="A30" s="5">
        <v>26</v>
      </c>
      <c r="B30" s="11" t="s">
        <v>857</v>
      </c>
      <c r="C30" s="6" t="s">
        <v>175</v>
      </c>
      <c r="D30" s="5">
        <v>1</v>
      </c>
      <c r="E30" s="8">
        <v>2300</v>
      </c>
      <c r="F30" s="8">
        <f t="shared" si="0"/>
        <v>2300</v>
      </c>
      <c r="G30" s="8" t="s">
        <v>46</v>
      </c>
    </row>
    <row r="31" ht="25" customHeight="1" spans="1:7">
      <c r="A31" s="12"/>
      <c r="B31" s="13" t="s">
        <v>858</v>
      </c>
      <c r="C31" s="6"/>
      <c r="D31" s="5"/>
      <c r="E31" s="8"/>
      <c r="F31" s="8"/>
      <c r="G31" s="8"/>
    </row>
    <row r="32" ht="25" customHeight="1" spans="1:7">
      <c r="A32" s="5">
        <v>27</v>
      </c>
      <c r="B32" s="6" t="s">
        <v>859</v>
      </c>
      <c r="C32" s="6" t="s">
        <v>35</v>
      </c>
      <c r="D32" s="5">
        <f>8.4+8.38+0.32</f>
        <v>17.1</v>
      </c>
      <c r="E32" s="8">
        <v>36.57</v>
      </c>
      <c r="F32" s="8">
        <f>D32*E32</f>
        <v>625.347</v>
      </c>
      <c r="G32" s="8" t="s">
        <v>46</v>
      </c>
    </row>
    <row r="33" ht="25" customHeight="1" spans="1:7">
      <c r="A33" s="5">
        <v>28</v>
      </c>
      <c r="B33" s="6" t="s">
        <v>860</v>
      </c>
      <c r="C33" s="6" t="s">
        <v>35</v>
      </c>
      <c r="D33" s="5">
        <f>3*0.4</f>
        <v>1.2</v>
      </c>
      <c r="E33" s="8">
        <v>25.35</v>
      </c>
      <c r="F33" s="8">
        <f>D33*E33</f>
        <v>30.42</v>
      </c>
      <c r="G33" s="8" t="s">
        <v>46</v>
      </c>
    </row>
    <row r="34" ht="25" customHeight="1" spans="1:7">
      <c r="A34" s="5">
        <v>29</v>
      </c>
      <c r="B34" s="11" t="s">
        <v>861</v>
      </c>
      <c r="C34" s="6" t="s">
        <v>35</v>
      </c>
      <c r="D34" s="5">
        <v>4.8</v>
      </c>
      <c r="E34" s="8">
        <v>51.2</v>
      </c>
      <c r="F34" s="8">
        <f>D34*E34</f>
        <v>245.76</v>
      </c>
      <c r="G34" s="8" t="s">
        <v>46</v>
      </c>
    </row>
    <row r="35" ht="40.5" spans="1:7">
      <c r="A35" s="5">
        <v>30</v>
      </c>
      <c r="B35" s="11" t="s">
        <v>862</v>
      </c>
      <c r="C35" s="6" t="s">
        <v>35</v>
      </c>
      <c r="D35" s="5">
        <v>3.4</v>
      </c>
      <c r="E35" s="8">
        <v>32.5</v>
      </c>
      <c r="F35" s="8">
        <f>D35*E35</f>
        <v>110.5</v>
      </c>
      <c r="G35" s="8" t="s">
        <v>46</v>
      </c>
    </row>
    <row r="36" ht="25" customHeight="1" spans="1:7">
      <c r="A36" s="5">
        <v>31</v>
      </c>
      <c r="B36" s="11" t="s">
        <v>863</v>
      </c>
      <c r="C36" s="6" t="s">
        <v>175</v>
      </c>
      <c r="D36" s="5">
        <v>1</v>
      </c>
      <c r="E36" s="8">
        <v>2280</v>
      </c>
      <c r="F36" s="8">
        <f t="shared" ref="F36:F54" si="1">D36*E36</f>
        <v>2280</v>
      </c>
      <c r="G36" s="8" t="s">
        <v>46</v>
      </c>
    </row>
    <row r="37" ht="25" customHeight="1" spans="1:7">
      <c r="A37" s="5">
        <v>32</v>
      </c>
      <c r="B37" s="11" t="s">
        <v>864</v>
      </c>
      <c r="C37" s="6" t="s">
        <v>175</v>
      </c>
      <c r="D37" s="5">
        <v>1</v>
      </c>
      <c r="E37" s="8">
        <v>380</v>
      </c>
      <c r="F37" s="8">
        <f t="shared" si="1"/>
        <v>380</v>
      </c>
      <c r="G37" s="8" t="s">
        <v>46</v>
      </c>
    </row>
    <row r="38" ht="25" customHeight="1" spans="1:7">
      <c r="A38" s="5">
        <v>33</v>
      </c>
      <c r="B38" s="11" t="s">
        <v>865</v>
      </c>
      <c r="C38" s="6" t="s">
        <v>175</v>
      </c>
      <c r="D38" s="5">
        <v>1</v>
      </c>
      <c r="E38" s="8">
        <v>350</v>
      </c>
      <c r="F38" s="8">
        <f t="shared" si="1"/>
        <v>350</v>
      </c>
      <c r="G38" s="8" t="s">
        <v>46</v>
      </c>
    </row>
    <row r="39" ht="25" customHeight="1" spans="1:7">
      <c r="A39" s="5">
        <v>34</v>
      </c>
      <c r="B39" s="11" t="s">
        <v>866</v>
      </c>
      <c r="C39" s="6" t="s">
        <v>175</v>
      </c>
      <c r="D39" s="5">
        <v>1</v>
      </c>
      <c r="E39" s="8">
        <v>410</v>
      </c>
      <c r="F39" s="8">
        <f t="shared" si="1"/>
        <v>410</v>
      </c>
      <c r="G39" s="8" t="s">
        <v>46</v>
      </c>
    </row>
    <row r="40" ht="25" customHeight="1" spans="1:7">
      <c r="A40" s="5">
        <v>35</v>
      </c>
      <c r="B40" s="11" t="s">
        <v>867</v>
      </c>
      <c r="C40" s="6" t="s">
        <v>175</v>
      </c>
      <c r="D40" s="5">
        <v>1</v>
      </c>
      <c r="E40" s="8">
        <v>350</v>
      </c>
      <c r="F40" s="8">
        <f t="shared" si="1"/>
        <v>350</v>
      </c>
      <c r="G40" s="8" t="s">
        <v>46</v>
      </c>
    </row>
    <row r="41" ht="25" customHeight="1" spans="1:7">
      <c r="A41" s="5">
        <v>36</v>
      </c>
      <c r="B41" s="6" t="s">
        <v>868</v>
      </c>
      <c r="C41" s="6" t="s">
        <v>175</v>
      </c>
      <c r="D41" s="5">
        <v>1</v>
      </c>
      <c r="E41" s="8">
        <v>195</v>
      </c>
      <c r="F41" s="8">
        <f t="shared" si="1"/>
        <v>195</v>
      </c>
      <c r="G41" s="8" t="s">
        <v>46</v>
      </c>
    </row>
    <row r="42" ht="25" customHeight="1" spans="1:7">
      <c r="A42" s="5">
        <v>37</v>
      </c>
      <c r="B42" s="11" t="s">
        <v>869</v>
      </c>
      <c r="C42" s="6" t="s">
        <v>175</v>
      </c>
      <c r="D42" s="5">
        <v>1</v>
      </c>
      <c r="E42" s="8">
        <v>1850</v>
      </c>
      <c r="F42" s="8">
        <f t="shared" si="1"/>
        <v>1850</v>
      </c>
      <c r="G42" s="8" t="s">
        <v>46</v>
      </c>
    </row>
    <row r="43" ht="25" customHeight="1" spans="1:7">
      <c r="A43" s="12"/>
      <c r="B43" s="13" t="s">
        <v>870</v>
      </c>
      <c r="C43" s="13"/>
      <c r="D43" s="5"/>
      <c r="E43" s="8"/>
      <c r="F43" s="8"/>
      <c r="G43" s="8"/>
    </row>
    <row r="44" ht="25" customHeight="1" spans="1:7">
      <c r="A44" s="5">
        <v>38</v>
      </c>
      <c r="B44" s="5" t="s">
        <v>871</v>
      </c>
      <c r="C44" s="5" t="s">
        <v>35</v>
      </c>
      <c r="D44" s="5">
        <f>8.64+25.76</f>
        <v>34.4</v>
      </c>
      <c r="E44" s="8">
        <v>0</v>
      </c>
      <c r="F44" s="8">
        <v>0</v>
      </c>
      <c r="G44" s="5" t="s">
        <v>492</v>
      </c>
    </row>
    <row r="45" ht="25" customHeight="1" spans="1:7">
      <c r="A45" s="5">
        <v>39</v>
      </c>
      <c r="B45" s="5" t="s">
        <v>872</v>
      </c>
      <c r="C45" s="5" t="s">
        <v>35</v>
      </c>
      <c r="D45" s="5">
        <f>276.84+86.13+215.58+104.8+116.65+19</f>
        <v>819</v>
      </c>
      <c r="E45" s="8">
        <v>0</v>
      </c>
      <c r="F45" s="8">
        <v>0</v>
      </c>
      <c r="G45" s="5" t="s">
        <v>492</v>
      </c>
    </row>
    <row r="46" ht="25" customHeight="1" spans="1:7">
      <c r="A46" s="5">
        <v>40</v>
      </c>
      <c r="B46" s="5" t="s">
        <v>873</v>
      </c>
      <c r="C46" s="5" t="s">
        <v>35</v>
      </c>
      <c r="D46" s="5">
        <f>18.9+14+6.9+11.3+7.74+12.86+12.62+17.44+8.5+11.88+4.38+4.68+20.33+9.1+6.88+23+17.07+4.55+17.37+11.07+18.07+4.7</f>
        <v>263.34</v>
      </c>
      <c r="E46" s="8">
        <v>51</v>
      </c>
      <c r="F46" s="8">
        <f t="shared" si="1"/>
        <v>13430.34</v>
      </c>
      <c r="G46" s="8" t="s">
        <v>46</v>
      </c>
    </row>
    <row r="47" ht="25" customHeight="1" spans="1:7">
      <c r="A47" s="5">
        <v>41</v>
      </c>
      <c r="B47" s="5" t="s">
        <v>874</v>
      </c>
      <c r="C47" s="5" t="s">
        <v>35</v>
      </c>
      <c r="D47" s="5">
        <v>713.79</v>
      </c>
      <c r="E47" s="8">
        <v>51</v>
      </c>
      <c r="F47" s="8">
        <f t="shared" si="1"/>
        <v>36403.29</v>
      </c>
      <c r="G47" s="8" t="s">
        <v>46</v>
      </c>
    </row>
    <row r="48" ht="25" customHeight="1" spans="1:7">
      <c r="A48" s="5">
        <v>42</v>
      </c>
      <c r="B48" s="5" t="s">
        <v>875</v>
      </c>
      <c r="C48" s="5" t="s">
        <v>417</v>
      </c>
      <c r="D48" s="5">
        <v>39</v>
      </c>
      <c r="E48" s="8">
        <v>750</v>
      </c>
      <c r="F48" s="8">
        <f t="shared" si="1"/>
        <v>29250</v>
      </c>
      <c r="G48" s="8" t="s">
        <v>46</v>
      </c>
    </row>
    <row r="49" ht="25" customHeight="1" spans="1:7">
      <c r="A49" s="5">
        <v>43</v>
      </c>
      <c r="B49" s="5" t="s">
        <v>876</v>
      </c>
      <c r="C49" s="5" t="s">
        <v>417</v>
      </c>
      <c r="D49" s="5">
        <v>2</v>
      </c>
      <c r="E49" s="8">
        <v>470</v>
      </c>
      <c r="F49" s="8">
        <f t="shared" si="1"/>
        <v>940</v>
      </c>
      <c r="G49" s="8" t="s">
        <v>46</v>
      </c>
    </row>
    <row r="50" ht="25" customHeight="1" spans="1:7">
      <c r="A50" s="5">
        <v>44</v>
      </c>
      <c r="B50" s="5" t="s">
        <v>877</v>
      </c>
      <c r="C50" s="5" t="s">
        <v>417</v>
      </c>
      <c r="D50" s="5">
        <v>43</v>
      </c>
      <c r="E50" s="8">
        <v>1350</v>
      </c>
      <c r="F50" s="8">
        <f t="shared" si="1"/>
        <v>58050</v>
      </c>
      <c r="G50" s="8" t="s">
        <v>46</v>
      </c>
    </row>
    <row r="51" ht="25" customHeight="1" spans="1:7">
      <c r="A51" s="5">
        <v>45</v>
      </c>
      <c r="B51" s="5" t="s">
        <v>878</v>
      </c>
      <c r="C51" s="5" t="s">
        <v>417</v>
      </c>
      <c r="D51" s="5">
        <v>32</v>
      </c>
      <c r="E51" s="8">
        <v>0</v>
      </c>
      <c r="F51" s="8">
        <v>0</v>
      </c>
      <c r="G51" s="5" t="s">
        <v>492</v>
      </c>
    </row>
    <row r="52" ht="25" customHeight="1" spans="1:7">
      <c r="A52" s="5">
        <v>46</v>
      </c>
      <c r="B52" s="5" t="s">
        <v>845</v>
      </c>
      <c r="C52" s="5" t="s">
        <v>45</v>
      </c>
      <c r="D52" s="5">
        <f>1840*0.6</f>
        <v>1104</v>
      </c>
      <c r="E52" s="8">
        <v>12.5</v>
      </c>
      <c r="F52" s="8">
        <f t="shared" si="1"/>
        <v>13800</v>
      </c>
      <c r="G52" s="8" t="s">
        <v>46</v>
      </c>
    </row>
    <row r="53" ht="25" customHeight="1" spans="1:7">
      <c r="A53" s="5">
        <v>47</v>
      </c>
      <c r="B53" s="5" t="s">
        <v>879</v>
      </c>
      <c r="C53" s="5" t="s">
        <v>200</v>
      </c>
      <c r="D53" s="5">
        <v>26</v>
      </c>
      <c r="E53" s="8">
        <v>0</v>
      </c>
      <c r="F53" s="8">
        <v>0</v>
      </c>
      <c r="G53" s="5" t="s">
        <v>492</v>
      </c>
    </row>
    <row r="54" ht="25" customHeight="1" spans="1:7">
      <c r="A54" s="5">
        <v>48</v>
      </c>
      <c r="B54" s="5" t="s">
        <v>880</v>
      </c>
      <c r="C54" s="5" t="s">
        <v>200</v>
      </c>
      <c r="D54" s="5">
        <v>6</v>
      </c>
      <c r="E54" s="8">
        <v>950</v>
      </c>
      <c r="F54" s="8">
        <f t="shared" si="1"/>
        <v>5700</v>
      </c>
      <c r="G54" s="8" t="s">
        <v>46</v>
      </c>
    </row>
    <row r="55" ht="25" customHeight="1" spans="1:7">
      <c r="A55" s="5"/>
      <c r="B55" s="6" t="s">
        <v>16</v>
      </c>
      <c r="C55" s="6"/>
      <c r="D55" s="5"/>
      <c r="E55" s="21"/>
      <c r="F55" s="21">
        <f>SUM(F4:F54)</f>
        <v>297869.91561</v>
      </c>
      <c r="G55" s="8"/>
    </row>
  </sheetData>
  <sheetProtection password="C71F" sheet="1" objects="1"/>
  <mergeCells count="1">
    <mergeCell ref="A1:G1"/>
  </mergeCells>
  <pageMargins left="0.75" right="0.75" top="1" bottom="1" header="0.511805555555556" footer="0.511805555555556"/>
  <pageSetup paperSize="9" orientation="portrait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0"/>
  <sheetViews>
    <sheetView workbookViewId="0">
      <pane ySplit="2" topLeftCell="A62" activePane="bottomLeft" state="frozen"/>
      <selection/>
      <selection pane="bottomLeft" activeCell="G80" sqref="G80"/>
    </sheetView>
  </sheetViews>
  <sheetFormatPr defaultColWidth="9" defaultRowHeight="14.25" outlineLevelCol="6"/>
  <cols>
    <col min="1" max="1" width="9" style="1"/>
    <col min="2" max="2" width="24.625" style="2" customWidth="1"/>
    <col min="3" max="3" width="10.1333333333333" style="2" customWidth="1"/>
    <col min="4" max="4" width="9" style="1"/>
    <col min="5" max="5" width="19.75" style="3" customWidth="1"/>
    <col min="6" max="6" width="17.25" style="3" customWidth="1"/>
    <col min="7" max="7" width="17.875" style="1" customWidth="1"/>
    <col min="8" max="16384" width="9" style="1"/>
  </cols>
  <sheetData>
    <row r="1" ht="38" customHeight="1" spans="1:7">
      <c r="A1" s="4" t="s">
        <v>881</v>
      </c>
      <c r="B1" s="4"/>
      <c r="C1" s="4"/>
      <c r="D1" s="4"/>
      <c r="E1" s="4"/>
      <c r="F1" s="4"/>
      <c r="G1" s="4"/>
    </row>
    <row r="2" ht="30" customHeight="1" spans="1:7">
      <c r="A2" s="5" t="s">
        <v>1</v>
      </c>
      <c r="B2" s="6" t="s">
        <v>2</v>
      </c>
      <c r="C2" s="6" t="s">
        <v>28</v>
      </c>
      <c r="D2" s="5" t="s">
        <v>29</v>
      </c>
      <c r="E2" s="7" t="s">
        <v>30</v>
      </c>
      <c r="F2" s="7" t="s">
        <v>31</v>
      </c>
      <c r="G2" s="5" t="s">
        <v>6</v>
      </c>
    </row>
    <row r="3" ht="20" customHeight="1" spans="1:7">
      <c r="A3" s="5">
        <v>1</v>
      </c>
      <c r="B3" s="6" t="s">
        <v>882</v>
      </c>
      <c r="C3" s="6" t="s">
        <v>35</v>
      </c>
      <c r="D3" s="5">
        <f>41.41+27.23+102.05+81+60.8*2+10*2+157.72+19.2+130.32+15.84+(47.89+46.64+23.17*5+39.71*5+36.53*4+81.6*3+24.07*2+41.13+57.66+33.7+79.15+15.2+124.3+41.37+107+73.7+81.94)</f>
        <v>2219.51</v>
      </c>
      <c r="E3" s="8">
        <v>9.94</v>
      </c>
      <c r="F3" s="8">
        <f>D3*E3</f>
        <v>22061.9294</v>
      </c>
      <c r="G3" s="5" t="s">
        <v>46</v>
      </c>
    </row>
    <row r="4" ht="20" customHeight="1" spans="1:7">
      <c r="A4" s="5">
        <v>2</v>
      </c>
      <c r="B4" s="6" t="s">
        <v>883</v>
      </c>
      <c r="C4" s="6" t="s">
        <v>35</v>
      </c>
      <c r="D4" s="5">
        <v>4057.23</v>
      </c>
      <c r="E4" s="8">
        <v>9.94</v>
      </c>
      <c r="F4" s="8">
        <f t="shared" ref="F4:F35" si="0">D4*E4</f>
        <v>40328.8662</v>
      </c>
      <c r="G4" s="5" t="s">
        <v>46</v>
      </c>
    </row>
    <row r="5" ht="20" customHeight="1" spans="1:7">
      <c r="A5" s="5">
        <v>3</v>
      </c>
      <c r="B5" s="6" t="s">
        <v>884</v>
      </c>
      <c r="C5" s="6" t="s">
        <v>35</v>
      </c>
      <c r="D5" s="5">
        <f>60.8*2+10+22.08+12.63+91.9+96.56</f>
        <v>354.77</v>
      </c>
      <c r="E5" s="8">
        <v>12.58</v>
      </c>
      <c r="F5" s="8">
        <f t="shared" si="0"/>
        <v>4463.0066</v>
      </c>
      <c r="G5" s="5" t="s">
        <v>46</v>
      </c>
    </row>
    <row r="6" ht="20" customHeight="1" spans="1:7">
      <c r="A6" s="5">
        <v>4</v>
      </c>
      <c r="B6" s="6" t="s">
        <v>885</v>
      </c>
      <c r="C6" s="6" t="s">
        <v>35</v>
      </c>
      <c r="D6" s="5">
        <f>23.17+39.71+36.53+81.6+24.07+41.13+40+33.5+17.7</f>
        <v>337.41</v>
      </c>
      <c r="E6" s="8">
        <v>17.75</v>
      </c>
      <c r="F6" s="8">
        <f t="shared" si="0"/>
        <v>5989.0275</v>
      </c>
      <c r="G6" s="5" t="s">
        <v>46</v>
      </c>
    </row>
    <row r="7" ht="20" customHeight="1" spans="1:7">
      <c r="A7" s="5">
        <v>5</v>
      </c>
      <c r="B7" s="6" t="s">
        <v>886</v>
      </c>
      <c r="C7" s="6" t="s">
        <v>35</v>
      </c>
      <c r="D7" s="5">
        <v>85.5</v>
      </c>
      <c r="E7" s="8">
        <v>20.18</v>
      </c>
      <c r="F7" s="8">
        <f t="shared" si="0"/>
        <v>1725.39</v>
      </c>
      <c r="G7" s="5" t="s">
        <v>46</v>
      </c>
    </row>
    <row r="8" ht="20" customHeight="1" spans="1:7">
      <c r="A8" s="5">
        <v>6</v>
      </c>
      <c r="B8" s="6" t="s">
        <v>887</v>
      </c>
      <c r="C8" s="6" t="s">
        <v>35</v>
      </c>
      <c r="D8" s="5">
        <v>70</v>
      </c>
      <c r="E8" s="8">
        <v>15.78</v>
      </c>
      <c r="F8" s="8">
        <f t="shared" si="0"/>
        <v>1104.6</v>
      </c>
      <c r="G8" s="5" t="s">
        <v>46</v>
      </c>
    </row>
    <row r="9" ht="20" customHeight="1" spans="1:7">
      <c r="A9" s="5">
        <v>7</v>
      </c>
      <c r="B9" s="6" t="s">
        <v>888</v>
      </c>
      <c r="C9" s="6" t="s">
        <v>35</v>
      </c>
      <c r="D9" s="5">
        <v>6346.74</v>
      </c>
      <c r="E9" s="8">
        <v>6.4</v>
      </c>
      <c r="F9" s="8">
        <f t="shared" si="0"/>
        <v>40619.136</v>
      </c>
      <c r="G9" s="5" t="s">
        <v>46</v>
      </c>
    </row>
    <row r="10" ht="20" customHeight="1" spans="1:7">
      <c r="A10" s="5">
        <v>8</v>
      </c>
      <c r="B10" s="6" t="s">
        <v>889</v>
      </c>
      <c r="C10" s="6" t="s">
        <v>35</v>
      </c>
      <c r="D10" s="5">
        <v>440.27</v>
      </c>
      <c r="E10" s="8">
        <v>7.2</v>
      </c>
      <c r="F10" s="8">
        <f t="shared" si="0"/>
        <v>3169.944</v>
      </c>
      <c r="G10" s="5" t="s">
        <v>46</v>
      </c>
    </row>
    <row r="11" ht="20" customHeight="1" spans="1:7">
      <c r="A11" s="5">
        <v>9</v>
      </c>
      <c r="B11" s="6" t="s">
        <v>890</v>
      </c>
      <c r="C11" s="6" t="s">
        <v>35</v>
      </c>
      <c r="D11" s="5">
        <f>23.17+39.71+36.53+81.6+24.07+41.13+40+33.5+17.7</f>
        <v>337.41</v>
      </c>
      <c r="E11" s="8">
        <v>9</v>
      </c>
      <c r="F11" s="8">
        <f t="shared" si="0"/>
        <v>3036.69</v>
      </c>
      <c r="G11" s="5" t="s">
        <v>46</v>
      </c>
    </row>
    <row r="12" ht="20" customHeight="1" spans="1:7">
      <c r="A12" s="5">
        <v>10</v>
      </c>
      <c r="B12" s="6" t="s">
        <v>891</v>
      </c>
      <c r="C12" s="6" t="s">
        <v>35</v>
      </c>
      <c r="D12" s="5">
        <f>255*2</f>
        <v>510</v>
      </c>
      <c r="E12" s="8">
        <v>24.8</v>
      </c>
      <c r="F12" s="8">
        <f t="shared" si="0"/>
        <v>12648</v>
      </c>
      <c r="G12" s="5" t="s">
        <v>46</v>
      </c>
    </row>
    <row r="13" ht="20" customHeight="1" spans="1:7">
      <c r="A13" s="5">
        <v>11</v>
      </c>
      <c r="B13" s="6" t="s">
        <v>892</v>
      </c>
      <c r="C13" s="6" t="s">
        <v>200</v>
      </c>
      <c r="D13" s="5">
        <v>8</v>
      </c>
      <c r="E13" s="8">
        <v>140</v>
      </c>
      <c r="F13" s="8">
        <f t="shared" si="0"/>
        <v>1120</v>
      </c>
      <c r="G13" s="5" t="s">
        <v>46</v>
      </c>
    </row>
    <row r="14" ht="28.5" spans="1:7">
      <c r="A14" s="5">
        <v>12</v>
      </c>
      <c r="B14" s="6" t="s">
        <v>893</v>
      </c>
      <c r="C14" s="6" t="s">
        <v>175</v>
      </c>
      <c r="D14" s="5">
        <v>68</v>
      </c>
      <c r="E14" s="8">
        <v>220</v>
      </c>
      <c r="F14" s="8">
        <f t="shared" si="0"/>
        <v>14960</v>
      </c>
      <c r="G14" s="5" t="s">
        <v>176</v>
      </c>
    </row>
    <row r="15" ht="28.5" spans="1:7">
      <c r="A15" s="5">
        <v>13</v>
      </c>
      <c r="B15" s="6" t="s">
        <v>894</v>
      </c>
      <c r="C15" s="6" t="s">
        <v>175</v>
      </c>
      <c r="D15" s="5">
        <v>44</v>
      </c>
      <c r="E15" s="8">
        <v>160</v>
      </c>
      <c r="F15" s="8">
        <f t="shared" si="0"/>
        <v>7040</v>
      </c>
      <c r="G15" s="5" t="s">
        <v>176</v>
      </c>
    </row>
    <row r="16" ht="28.5" spans="1:7">
      <c r="A16" s="5">
        <v>14</v>
      </c>
      <c r="B16" s="6" t="s">
        <v>895</v>
      </c>
      <c r="C16" s="6" t="s">
        <v>175</v>
      </c>
      <c r="D16" s="5">
        <v>6</v>
      </c>
      <c r="E16" s="8">
        <v>0</v>
      </c>
      <c r="F16" s="8">
        <f t="shared" si="0"/>
        <v>0</v>
      </c>
      <c r="G16" s="5" t="s">
        <v>896</v>
      </c>
    </row>
    <row r="17" ht="28.5" spans="1:7">
      <c r="A17" s="5">
        <v>15</v>
      </c>
      <c r="B17" s="6" t="s">
        <v>897</v>
      </c>
      <c r="C17" s="6" t="s">
        <v>175</v>
      </c>
      <c r="D17" s="5">
        <v>34</v>
      </c>
      <c r="E17" s="8">
        <v>50</v>
      </c>
      <c r="F17" s="8">
        <f t="shared" si="0"/>
        <v>1700</v>
      </c>
      <c r="G17" s="5" t="s">
        <v>176</v>
      </c>
    </row>
    <row r="18" ht="28.5" spans="1:7">
      <c r="A18" s="5">
        <v>16</v>
      </c>
      <c r="B18" s="6" t="s">
        <v>898</v>
      </c>
      <c r="C18" s="6" t="s">
        <v>175</v>
      </c>
      <c r="D18" s="5">
        <v>12</v>
      </c>
      <c r="E18" s="8">
        <v>50</v>
      </c>
      <c r="F18" s="8">
        <f t="shared" si="0"/>
        <v>600</v>
      </c>
      <c r="G18" s="5" t="s">
        <v>176</v>
      </c>
    </row>
    <row r="19" ht="28.5" spans="1:7">
      <c r="A19" s="5">
        <v>17</v>
      </c>
      <c r="B19" s="6" t="s">
        <v>899</v>
      </c>
      <c r="C19" s="6" t="s">
        <v>175</v>
      </c>
      <c r="D19" s="5">
        <v>7</v>
      </c>
      <c r="E19" s="8">
        <v>50</v>
      </c>
      <c r="F19" s="8">
        <f t="shared" si="0"/>
        <v>350</v>
      </c>
      <c r="G19" s="5" t="s">
        <v>176</v>
      </c>
    </row>
    <row r="20" ht="28.5" spans="1:7">
      <c r="A20" s="5">
        <v>18</v>
      </c>
      <c r="B20" s="6" t="s">
        <v>900</v>
      </c>
      <c r="C20" s="6" t="s">
        <v>175</v>
      </c>
      <c r="D20" s="5">
        <v>24</v>
      </c>
      <c r="E20" s="8">
        <v>50</v>
      </c>
      <c r="F20" s="8">
        <f t="shared" si="0"/>
        <v>1200</v>
      </c>
      <c r="G20" s="5" t="s">
        <v>176</v>
      </c>
    </row>
    <row r="21" ht="28.5" spans="1:7">
      <c r="A21" s="5">
        <v>19</v>
      </c>
      <c r="B21" s="6" t="s">
        <v>901</v>
      </c>
      <c r="C21" s="6" t="s">
        <v>175</v>
      </c>
      <c r="D21" s="5">
        <v>1</v>
      </c>
      <c r="E21" s="8">
        <v>200</v>
      </c>
      <c r="F21" s="8">
        <f t="shared" si="0"/>
        <v>200</v>
      </c>
      <c r="G21" s="5" t="s">
        <v>176</v>
      </c>
    </row>
    <row r="22" ht="36" customHeight="1" spans="1:7">
      <c r="A22" s="5">
        <v>20</v>
      </c>
      <c r="B22" s="6" t="s">
        <v>902</v>
      </c>
      <c r="C22" s="6" t="s">
        <v>175</v>
      </c>
      <c r="D22" s="5">
        <v>2</v>
      </c>
      <c r="E22" s="8">
        <v>0</v>
      </c>
      <c r="F22" s="8">
        <f t="shared" si="0"/>
        <v>0</v>
      </c>
      <c r="G22" s="5" t="s">
        <v>896</v>
      </c>
    </row>
    <row r="23" ht="28.5" spans="1:7">
      <c r="A23" s="5">
        <v>21</v>
      </c>
      <c r="B23" s="6" t="s">
        <v>903</v>
      </c>
      <c r="C23" s="6" t="s">
        <v>35</v>
      </c>
      <c r="D23" s="5">
        <v>501.08</v>
      </c>
      <c r="E23" s="8">
        <v>20</v>
      </c>
      <c r="F23" s="8">
        <f t="shared" si="0"/>
        <v>10021.6</v>
      </c>
      <c r="G23" s="5" t="s">
        <v>176</v>
      </c>
    </row>
    <row r="24" ht="28.5" spans="1:7">
      <c r="A24" s="5">
        <v>22</v>
      </c>
      <c r="B24" s="6" t="s">
        <v>904</v>
      </c>
      <c r="C24" s="6" t="s">
        <v>175</v>
      </c>
      <c r="D24" s="5">
        <v>8</v>
      </c>
      <c r="E24" s="8">
        <v>50</v>
      </c>
      <c r="F24" s="8">
        <f t="shared" si="0"/>
        <v>400</v>
      </c>
      <c r="G24" s="5" t="s">
        <v>176</v>
      </c>
    </row>
    <row r="25" ht="28.5" spans="1:7">
      <c r="A25" s="5">
        <v>23</v>
      </c>
      <c r="B25" s="6" t="s">
        <v>905</v>
      </c>
      <c r="C25" s="6" t="s">
        <v>175</v>
      </c>
      <c r="D25" s="5">
        <v>2</v>
      </c>
      <c r="E25" s="8">
        <v>80</v>
      </c>
      <c r="F25" s="8">
        <f t="shared" si="0"/>
        <v>160</v>
      </c>
      <c r="G25" s="5" t="s">
        <v>176</v>
      </c>
    </row>
    <row r="26" ht="32" customHeight="1" spans="1:7">
      <c r="A26" s="5">
        <v>24</v>
      </c>
      <c r="B26" s="6" t="s">
        <v>906</v>
      </c>
      <c r="C26" s="6" t="s">
        <v>175</v>
      </c>
      <c r="D26" s="5">
        <v>3</v>
      </c>
      <c r="E26" s="8">
        <v>50</v>
      </c>
      <c r="F26" s="8">
        <f t="shared" si="0"/>
        <v>150</v>
      </c>
      <c r="G26" s="5" t="s">
        <v>176</v>
      </c>
    </row>
    <row r="27" ht="28.5" spans="1:7">
      <c r="A27" s="5">
        <v>25</v>
      </c>
      <c r="B27" s="6" t="s">
        <v>907</v>
      </c>
      <c r="C27" s="6" t="s">
        <v>175</v>
      </c>
      <c r="D27" s="5">
        <v>5</v>
      </c>
      <c r="E27" s="8">
        <v>250</v>
      </c>
      <c r="F27" s="8">
        <f t="shared" si="0"/>
        <v>1250</v>
      </c>
      <c r="G27" s="5" t="s">
        <v>46</v>
      </c>
    </row>
    <row r="28" ht="30" customHeight="1" spans="1:7">
      <c r="A28" s="5">
        <v>26</v>
      </c>
      <c r="B28" s="6" t="s">
        <v>908</v>
      </c>
      <c r="C28" s="6" t="s">
        <v>175</v>
      </c>
      <c r="D28" s="5">
        <v>15</v>
      </c>
      <c r="E28" s="8">
        <v>850</v>
      </c>
      <c r="F28" s="8">
        <f t="shared" si="0"/>
        <v>12750</v>
      </c>
      <c r="G28" s="5" t="s">
        <v>46</v>
      </c>
    </row>
    <row r="29" ht="24" customHeight="1" spans="1:7">
      <c r="A29" s="5">
        <v>27</v>
      </c>
      <c r="B29" s="6" t="s">
        <v>909</v>
      </c>
      <c r="C29" s="6" t="s">
        <v>175</v>
      </c>
      <c r="D29" s="5">
        <v>2</v>
      </c>
      <c r="E29" s="8">
        <v>0</v>
      </c>
      <c r="F29" s="8">
        <f t="shared" si="0"/>
        <v>0</v>
      </c>
      <c r="G29" s="5" t="s">
        <v>910</v>
      </c>
    </row>
    <row r="30" ht="41" customHeight="1" spans="1:7">
      <c r="A30" s="5">
        <v>28</v>
      </c>
      <c r="B30" s="6" t="s">
        <v>911</v>
      </c>
      <c r="C30" s="6" t="s">
        <v>175</v>
      </c>
      <c r="D30" s="5">
        <v>2</v>
      </c>
      <c r="E30" s="8">
        <v>70</v>
      </c>
      <c r="F30" s="8">
        <f t="shared" si="0"/>
        <v>140</v>
      </c>
      <c r="G30" s="5" t="s">
        <v>46</v>
      </c>
    </row>
    <row r="31" ht="39" customHeight="1" spans="1:7">
      <c r="A31" s="5">
        <v>29</v>
      </c>
      <c r="B31" s="6" t="s">
        <v>912</v>
      </c>
      <c r="C31" s="6" t="s">
        <v>175</v>
      </c>
      <c r="D31" s="5">
        <v>2</v>
      </c>
      <c r="E31" s="8">
        <v>5150</v>
      </c>
      <c r="F31" s="8">
        <f t="shared" si="0"/>
        <v>10300</v>
      </c>
      <c r="G31" s="5" t="s">
        <v>46</v>
      </c>
    </row>
    <row r="32" ht="42" customHeight="1" spans="1:7">
      <c r="A32" s="5">
        <v>30</v>
      </c>
      <c r="B32" s="6" t="s">
        <v>913</v>
      </c>
      <c r="C32" s="6" t="s">
        <v>291</v>
      </c>
      <c r="D32" s="5">
        <v>2</v>
      </c>
      <c r="E32" s="8">
        <v>600</v>
      </c>
      <c r="F32" s="8">
        <f t="shared" si="0"/>
        <v>1200</v>
      </c>
      <c r="G32" s="5" t="s">
        <v>46</v>
      </c>
    </row>
    <row r="33" ht="30" customHeight="1" spans="1:7">
      <c r="A33" s="5">
        <v>31</v>
      </c>
      <c r="B33" s="6" t="s">
        <v>914</v>
      </c>
      <c r="C33" s="6" t="s">
        <v>291</v>
      </c>
      <c r="D33" s="5">
        <v>2</v>
      </c>
      <c r="E33" s="8">
        <v>500</v>
      </c>
      <c r="F33" s="8">
        <f t="shared" si="0"/>
        <v>1000</v>
      </c>
      <c r="G33" s="5" t="s">
        <v>46</v>
      </c>
    </row>
    <row r="34" ht="25" customHeight="1" spans="1:7">
      <c r="A34" s="9"/>
      <c r="B34" s="10" t="s">
        <v>915</v>
      </c>
      <c r="C34" s="10"/>
      <c r="D34" s="5"/>
      <c r="E34" s="8"/>
      <c r="F34" s="8"/>
      <c r="G34" s="5"/>
    </row>
    <row r="35" s="1" customFormat="1" ht="28.5" spans="1:7">
      <c r="A35" s="5">
        <v>32</v>
      </c>
      <c r="B35" s="6" t="s">
        <v>904</v>
      </c>
      <c r="C35" s="6" t="s">
        <v>175</v>
      </c>
      <c r="D35" s="9">
        <v>20</v>
      </c>
      <c r="E35" s="8">
        <v>50</v>
      </c>
      <c r="F35" s="8">
        <f t="shared" si="0"/>
        <v>1000</v>
      </c>
      <c r="G35" s="5" t="s">
        <v>176</v>
      </c>
    </row>
    <row r="36" s="1" customFormat="1" ht="27" spans="1:7">
      <c r="A36" s="5">
        <v>33</v>
      </c>
      <c r="B36" s="11" t="s">
        <v>916</v>
      </c>
      <c r="C36" s="6" t="s">
        <v>175</v>
      </c>
      <c r="D36" s="9">
        <v>2</v>
      </c>
      <c r="E36" s="8">
        <v>1070</v>
      </c>
      <c r="F36" s="8">
        <f t="shared" ref="F36:F69" si="1">D36*E36</f>
        <v>2140</v>
      </c>
      <c r="G36" s="5" t="s">
        <v>46</v>
      </c>
    </row>
    <row r="37" s="1" customFormat="1" ht="40.5" spans="1:7">
      <c r="A37" s="5">
        <v>34</v>
      </c>
      <c r="B37" s="11" t="s">
        <v>917</v>
      </c>
      <c r="C37" s="6" t="s">
        <v>175</v>
      </c>
      <c r="D37" s="9">
        <v>3</v>
      </c>
      <c r="E37" s="8">
        <v>65</v>
      </c>
      <c r="F37" s="8">
        <f t="shared" si="1"/>
        <v>195</v>
      </c>
      <c r="G37" s="5" t="s">
        <v>46</v>
      </c>
    </row>
    <row r="38" s="1" customFormat="1" ht="27" spans="1:7">
      <c r="A38" s="5">
        <v>35</v>
      </c>
      <c r="B38" s="11" t="s">
        <v>918</v>
      </c>
      <c r="C38" s="6" t="s">
        <v>175</v>
      </c>
      <c r="D38" s="9">
        <v>2</v>
      </c>
      <c r="E38" s="8">
        <v>68</v>
      </c>
      <c r="F38" s="8">
        <f t="shared" si="1"/>
        <v>136</v>
      </c>
      <c r="G38" s="5" t="s">
        <v>46</v>
      </c>
    </row>
    <row r="39" s="1" customFormat="1" ht="40.5" spans="1:7">
      <c r="A39" s="5">
        <v>36</v>
      </c>
      <c r="B39" s="11" t="s">
        <v>919</v>
      </c>
      <c r="C39" s="6" t="s">
        <v>175</v>
      </c>
      <c r="D39" s="9">
        <v>2</v>
      </c>
      <c r="E39" s="8">
        <v>56</v>
      </c>
      <c r="F39" s="8">
        <f t="shared" si="1"/>
        <v>112</v>
      </c>
      <c r="G39" s="5" t="s">
        <v>46</v>
      </c>
    </row>
    <row r="40" s="1" customFormat="1" ht="27" spans="1:7">
      <c r="A40" s="5">
        <v>37</v>
      </c>
      <c r="B40" s="11" t="s">
        <v>920</v>
      </c>
      <c r="C40" s="6" t="s">
        <v>175</v>
      </c>
      <c r="D40" s="9">
        <v>2</v>
      </c>
      <c r="E40" s="8">
        <v>58</v>
      </c>
      <c r="F40" s="8">
        <f t="shared" si="1"/>
        <v>116</v>
      </c>
      <c r="G40" s="5" t="s">
        <v>46</v>
      </c>
    </row>
    <row r="41" s="1" customFormat="1" ht="27" spans="1:7">
      <c r="A41" s="5">
        <v>38</v>
      </c>
      <c r="B41" s="11" t="s">
        <v>921</v>
      </c>
      <c r="C41" s="6" t="s">
        <v>175</v>
      </c>
      <c r="D41" s="9">
        <v>2</v>
      </c>
      <c r="E41" s="8">
        <v>55</v>
      </c>
      <c r="F41" s="8">
        <f t="shared" si="1"/>
        <v>110</v>
      </c>
      <c r="G41" s="5" t="s">
        <v>46</v>
      </c>
    </row>
    <row r="42" s="1" customFormat="1" ht="40.5" spans="1:7">
      <c r="A42" s="5">
        <v>39</v>
      </c>
      <c r="B42" s="11" t="s">
        <v>922</v>
      </c>
      <c r="C42" s="6" t="s">
        <v>175</v>
      </c>
      <c r="D42" s="9">
        <v>2</v>
      </c>
      <c r="E42" s="8">
        <v>670</v>
      </c>
      <c r="F42" s="8">
        <f t="shared" si="1"/>
        <v>1340</v>
      </c>
      <c r="G42" s="5" t="s">
        <v>46</v>
      </c>
    </row>
    <row r="43" s="1" customFormat="1" ht="17" customHeight="1" spans="1:7">
      <c r="A43" s="5">
        <v>40</v>
      </c>
      <c r="B43" s="6" t="s">
        <v>923</v>
      </c>
      <c r="C43" s="6" t="s">
        <v>35</v>
      </c>
      <c r="D43" s="9">
        <f>62+1.8*2+0.3*9+1.8*2+0.5*2+2*20</f>
        <v>112.9</v>
      </c>
      <c r="E43" s="8">
        <v>9.94</v>
      </c>
      <c r="F43" s="8">
        <f t="shared" si="1"/>
        <v>1122.226</v>
      </c>
      <c r="G43" s="5" t="s">
        <v>46</v>
      </c>
    </row>
    <row r="44" s="1" customFormat="1" ht="17" customHeight="1" spans="1:7">
      <c r="A44" s="5">
        <v>41</v>
      </c>
      <c r="B44" s="6" t="s">
        <v>924</v>
      </c>
      <c r="C44" s="6" t="s">
        <v>35</v>
      </c>
      <c r="D44" s="9">
        <v>39</v>
      </c>
      <c r="E44" s="8">
        <v>9.94</v>
      </c>
      <c r="F44" s="8">
        <f t="shared" si="1"/>
        <v>387.66</v>
      </c>
      <c r="G44" s="5" t="s">
        <v>46</v>
      </c>
    </row>
    <row r="45" s="1" customFormat="1" ht="17" customHeight="1" spans="1:7">
      <c r="A45" s="5">
        <v>42</v>
      </c>
      <c r="B45" s="6" t="s">
        <v>925</v>
      </c>
      <c r="C45" s="6" t="s">
        <v>35</v>
      </c>
      <c r="D45" s="9">
        <v>39</v>
      </c>
      <c r="E45" s="8">
        <v>12.5</v>
      </c>
      <c r="F45" s="8">
        <f t="shared" si="1"/>
        <v>487.5</v>
      </c>
      <c r="G45" s="5" t="s">
        <v>46</v>
      </c>
    </row>
    <row r="46" ht="30" customHeight="1" spans="1:7">
      <c r="A46" s="5">
        <v>43</v>
      </c>
      <c r="B46" s="6" t="s">
        <v>926</v>
      </c>
      <c r="C46" s="6" t="s">
        <v>927</v>
      </c>
      <c r="D46" s="9">
        <v>2</v>
      </c>
      <c r="E46" s="8">
        <v>55</v>
      </c>
      <c r="F46" s="8">
        <f t="shared" si="1"/>
        <v>110</v>
      </c>
      <c r="G46" s="5" t="s">
        <v>46</v>
      </c>
    </row>
    <row r="47" ht="30" customHeight="1" spans="1:7">
      <c r="A47" s="5">
        <v>44</v>
      </c>
      <c r="B47" s="6" t="s">
        <v>928</v>
      </c>
      <c r="C47" s="6" t="s">
        <v>35</v>
      </c>
      <c r="D47" s="9">
        <v>10</v>
      </c>
      <c r="E47" s="8">
        <v>17.28</v>
      </c>
      <c r="F47" s="8">
        <f t="shared" si="1"/>
        <v>172.8</v>
      </c>
      <c r="G47" s="5" t="s">
        <v>46</v>
      </c>
    </row>
    <row r="48" ht="18" customHeight="1" spans="1:7">
      <c r="A48" s="12"/>
      <c r="B48" s="13" t="s">
        <v>929</v>
      </c>
      <c r="C48" s="6"/>
      <c r="D48" s="5"/>
      <c r="E48" s="8"/>
      <c r="F48" s="8"/>
      <c r="G48" s="5"/>
    </row>
    <row r="49" ht="17" customHeight="1" spans="1:7">
      <c r="A49" s="5">
        <v>45</v>
      </c>
      <c r="B49" s="6" t="s">
        <v>923</v>
      </c>
      <c r="C49" s="6" t="s">
        <v>35</v>
      </c>
      <c r="D49" s="5">
        <f>1.86+2.2+2.95+2*(1.3+0.7)</f>
        <v>11.01</v>
      </c>
      <c r="E49" s="8">
        <v>9.94</v>
      </c>
      <c r="F49" s="8">
        <f t="shared" si="1"/>
        <v>109.4394</v>
      </c>
      <c r="G49" s="5" t="s">
        <v>46</v>
      </c>
    </row>
    <row r="50" ht="17" customHeight="1" spans="1:7">
      <c r="A50" s="5">
        <v>46</v>
      </c>
      <c r="B50" s="6" t="s">
        <v>930</v>
      </c>
      <c r="C50" s="6" t="s">
        <v>35</v>
      </c>
      <c r="D50" s="5">
        <f>1.15+3.23+3.16+2*(0.3+0.7)*3</f>
        <v>13.54</v>
      </c>
      <c r="E50" s="8">
        <v>12.58</v>
      </c>
      <c r="F50" s="8">
        <f t="shared" si="1"/>
        <v>170.3332</v>
      </c>
      <c r="G50" s="5" t="s">
        <v>46</v>
      </c>
    </row>
    <row r="51" ht="17" customHeight="1" spans="1:7">
      <c r="A51" s="5">
        <v>47</v>
      </c>
      <c r="B51" s="6" t="s">
        <v>924</v>
      </c>
      <c r="C51" s="6" t="s">
        <v>35</v>
      </c>
      <c r="D51" s="5">
        <f>10.88+9.03+3.14</f>
        <v>23.05</v>
      </c>
      <c r="E51" s="8">
        <v>9.94</v>
      </c>
      <c r="F51" s="8">
        <f t="shared" si="1"/>
        <v>229.117</v>
      </c>
      <c r="G51" s="5" t="s">
        <v>46</v>
      </c>
    </row>
    <row r="52" ht="21" customHeight="1" spans="1:7">
      <c r="A52" s="5">
        <v>48</v>
      </c>
      <c r="B52" s="6" t="s">
        <v>925</v>
      </c>
      <c r="C52" s="6" t="s">
        <v>35</v>
      </c>
      <c r="D52" s="5">
        <f>1.86+2.2+2.95+1.15+3.23+3.16+10.88+9.03+3.14</f>
        <v>37.6</v>
      </c>
      <c r="E52" s="8">
        <v>12.5</v>
      </c>
      <c r="F52" s="8">
        <f t="shared" si="1"/>
        <v>470</v>
      </c>
      <c r="G52" s="5" t="s">
        <v>46</v>
      </c>
    </row>
    <row r="53" ht="27" spans="1:7">
      <c r="A53" s="5">
        <v>49</v>
      </c>
      <c r="B53" s="11" t="s">
        <v>916</v>
      </c>
      <c r="C53" s="6" t="s">
        <v>175</v>
      </c>
      <c r="D53" s="5">
        <v>1</v>
      </c>
      <c r="E53" s="8">
        <v>1070</v>
      </c>
      <c r="F53" s="8">
        <f t="shared" si="1"/>
        <v>1070</v>
      </c>
      <c r="G53" s="5" t="s">
        <v>46</v>
      </c>
    </row>
    <row r="54" ht="40.5" spans="1:7">
      <c r="A54" s="5">
        <v>50</v>
      </c>
      <c r="B54" s="11" t="s">
        <v>917</v>
      </c>
      <c r="C54" s="6" t="s">
        <v>175</v>
      </c>
      <c r="D54" s="5">
        <v>1</v>
      </c>
      <c r="E54" s="8">
        <v>65</v>
      </c>
      <c r="F54" s="8">
        <f t="shared" si="1"/>
        <v>65</v>
      </c>
      <c r="G54" s="5" t="s">
        <v>46</v>
      </c>
    </row>
    <row r="55" ht="27" spans="1:7">
      <c r="A55" s="5">
        <v>51</v>
      </c>
      <c r="B55" s="11" t="s">
        <v>918</v>
      </c>
      <c r="C55" s="6" t="s">
        <v>175</v>
      </c>
      <c r="D55" s="5">
        <v>1</v>
      </c>
      <c r="E55" s="8">
        <v>68</v>
      </c>
      <c r="F55" s="8">
        <f t="shared" si="1"/>
        <v>68</v>
      </c>
      <c r="G55" s="5" t="s">
        <v>46</v>
      </c>
    </row>
    <row r="56" ht="40.5" spans="1:7">
      <c r="A56" s="5">
        <v>52</v>
      </c>
      <c r="B56" s="11" t="s">
        <v>919</v>
      </c>
      <c r="C56" s="6" t="s">
        <v>175</v>
      </c>
      <c r="D56" s="5">
        <v>1</v>
      </c>
      <c r="E56" s="8">
        <v>56</v>
      </c>
      <c r="F56" s="8">
        <f t="shared" si="1"/>
        <v>56</v>
      </c>
      <c r="G56" s="5" t="s">
        <v>46</v>
      </c>
    </row>
    <row r="57" ht="27" spans="1:7">
      <c r="A57" s="5">
        <v>53</v>
      </c>
      <c r="B57" s="11" t="s">
        <v>920</v>
      </c>
      <c r="C57" s="6" t="s">
        <v>175</v>
      </c>
      <c r="D57" s="5">
        <v>1</v>
      </c>
      <c r="E57" s="8">
        <v>58</v>
      </c>
      <c r="F57" s="8">
        <f t="shared" si="1"/>
        <v>58</v>
      </c>
      <c r="G57" s="5" t="s">
        <v>46</v>
      </c>
    </row>
    <row r="58" ht="27" spans="1:7">
      <c r="A58" s="5">
        <v>54</v>
      </c>
      <c r="B58" s="11" t="s">
        <v>921</v>
      </c>
      <c r="C58" s="6" t="s">
        <v>175</v>
      </c>
      <c r="D58" s="5">
        <v>1</v>
      </c>
      <c r="E58" s="8">
        <v>55</v>
      </c>
      <c r="F58" s="8">
        <f t="shared" si="1"/>
        <v>55</v>
      </c>
      <c r="G58" s="5" t="s">
        <v>46</v>
      </c>
    </row>
    <row r="59" ht="40.5" spans="1:7">
      <c r="A59" s="5">
        <v>55</v>
      </c>
      <c r="B59" s="11" t="s">
        <v>922</v>
      </c>
      <c r="C59" s="6" t="s">
        <v>175</v>
      </c>
      <c r="D59" s="5">
        <v>1</v>
      </c>
      <c r="E59" s="8">
        <v>670</v>
      </c>
      <c r="F59" s="8">
        <f t="shared" si="1"/>
        <v>670</v>
      </c>
      <c r="G59" s="5" t="s">
        <v>46</v>
      </c>
    </row>
    <row r="60" ht="33" customHeight="1" spans="1:7">
      <c r="A60" s="5">
        <v>56</v>
      </c>
      <c r="B60" s="11" t="s">
        <v>931</v>
      </c>
      <c r="C60" s="6" t="s">
        <v>175</v>
      </c>
      <c r="D60" s="5">
        <v>1</v>
      </c>
      <c r="E60" s="8">
        <v>230</v>
      </c>
      <c r="F60" s="8">
        <f t="shared" si="1"/>
        <v>230</v>
      </c>
      <c r="G60" s="5" t="s">
        <v>46</v>
      </c>
    </row>
    <row r="61" s="1" customFormat="1" ht="30" customHeight="1" spans="1:7">
      <c r="A61" s="5">
        <v>57</v>
      </c>
      <c r="B61" s="6" t="s">
        <v>926</v>
      </c>
      <c r="C61" s="6" t="s">
        <v>927</v>
      </c>
      <c r="D61" s="9">
        <v>1</v>
      </c>
      <c r="E61" s="8">
        <v>55</v>
      </c>
      <c r="F61" s="8">
        <f t="shared" si="1"/>
        <v>55</v>
      </c>
      <c r="G61" s="5" t="s">
        <v>46</v>
      </c>
    </row>
    <row r="62" s="1" customFormat="1" ht="30" customHeight="1" spans="1:7">
      <c r="A62" s="5">
        <v>58</v>
      </c>
      <c r="B62" s="6" t="s">
        <v>928</v>
      </c>
      <c r="C62" s="6" t="s">
        <v>35</v>
      </c>
      <c r="D62" s="9">
        <v>5</v>
      </c>
      <c r="E62" s="8">
        <v>17.28</v>
      </c>
      <c r="F62" s="8">
        <f t="shared" si="1"/>
        <v>86.4</v>
      </c>
      <c r="G62" s="5" t="s">
        <v>46</v>
      </c>
    </row>
    <row r="63" ht="21" customHeight="1" spans="1:7">
      <c r="A63" s="12"/>
      <c r="B63" s="14" t="s">
        <v>932</v>
      </c>
      <c r="C63" s="13"/>
      <c r="D63" s="12"/>
      <c r="E63" s="8"/>
      <c r="F63" s="8"/>
      <c r="G63" s="5"/>
    </row>
    <row r="64" ht="18" customHeight="1" spans="1:7">
      <c r="A64" s="5">
        <v>59</v>
      </c>
      <c r="B64" s="6" t="s">
        <v>933</v>
      </c>
      <c r="C64" s="5" t="s">
        <v>417</v>
      </c>
      <c r="D64" s="5">
        <v>1</v>
      </c>
      <c r="E64" s="8">
        <v>1000</v>
      </c>
      <c r="F64" s="8">
        <f t="shared" si="1"/>
        <v>1000</v>
      </c>
      <c r="G64" s="5" t="s">
        <v>46</v>
      </c>
    </row>
    <row r="65" ht="28.5" spans="1:7">
      <c r="A65" s="5">
        <v>60</v>
      </c>
      <c r="B65" s="6" t="s">
        <v>934</v>
      </c>
      <c r="C65" s="5" t="s">
        <v>417</v>
      </c>
      <c r="D65" s="5">
        <v>13</v>
      </c>
      <c r="E65" s="8">
        <v>820</v>
      </c>
      <c r="F65" s="8">
        <f t="shared" si="1"/>
        <v>10660</v>
      </c>
      <c r="G65" s="5" t="s">
        <v>46</v>
      </c>
    </row>
    <row r="66" ht="19" customHeight="1" spans="1:7">
      <c r="A66" s="5">
        <v>61</v>
      </c>
      <c r="B66" s="6" t="s">
        <v>935</v>
      </c>
      <c r="C66" s="5" t="s">
        <v>200</v>
      </c>
      <c r="D66" s="5">
        <v>33</v>
      </c>
      <c r="E66" s="8">
        <v>160</v>
      </c>
      <c r="F66" s="8">
        <f t="shared" si="1"/>
        <v>5280</v>
      </c>
      <c r="G66" s="5" t="s">
        <v>46</v>
      </c>
    </row>
    <row r="67" ht="28.5" spans="1:7">
      <c r="A67" s="5">
        <v>62</v>
      </c>
      <c r="B67" s="6" t="s">
        <v>936</v>
      </c>
      <c r="C67" s="5" t="s">
        <v>35</v>
      </c>
      <c r="D67" s="5">
        <f>143.03+286.68</f>
        <v>429.71</v>
      </c>
      <c r="E67" s="8">
        <v>7.2</v>
      </c>
      <c r="F67" s="8">
        <f t="shared" si="1"/>
        <v>3093.912</v>
      </c>
      <c r="G67" s="5" t="s">
        <v>46</v>
      </c>
    </row>
    <row r="68" ht="28.5" spans="1:7">
      <c r="A68" s="5">
        <v>63</v>
      </c>
      <c r="B68" s="6" t="s">
        <v>937</v>
      </c>
      <c r="C68" s="5" t="s">
        <v>35</v>
      </c>
      <c r="D68" s="5">
        <f>3.82+100.83+100.11+25.93+75.85+41.02+14.06+79.12+11.67+8.56+45.16+126.29+27.95+121.74</f>
        <v>782.11</v>
      </c>
      <c r="E68" s="8">
        <v>7.2</v>
      </c>
      <c r="F68" s="8">
        <f t="shared" si="1"/>
        <v>5631.192</v>
      </c>
      <c r="G68" s="5" t="s">
        <v>46</v>
      </c>
    </row>
    <row r="69" ht="29" customHeight="1" spans="1:7">
      <c r="A69" s="5">
        <v>64</v>
      </c>
      <c r="B69" s="6" t="s">
        <v>938</v>
      </c>
      <c r="C69" s="5" t="s">
        <v>45</v>
      </c>
      <c r="D69" s="5">
        <f>8165*0.4</f>
        <v>3266</v>
      </c>
      <c r="E69" s="8">
        <v>12.5</v>
      </c>
      <c r="F69" s="8">
        <f t="shared" si="1"/>
        <v>40825</v>
      </c>
      <c r="G69" s="5" t="s">
        <v>46</v>
      </c>
    </row>
    <row r="70" ht="22.05" customHeight="1" spans="1:7">
      <c r="A70" s="5"/>
      <c r="B70" s="6"/>
      <c r="C70" s="6"/>
      <c r="D70" s="5"/>
      <c r="E70" s="15"/>
      <c r="F70" s="16">
        <f>SUM(F3:F69)</f>
        <v>276999.7693</v>
      </c>
      <c r="G70" s="17"/>
    </row>
  </sheetData>
  <sheetProtection password="C71F" sheet="1" objects="1"/>
  <mergeCells count="1">
    <mergeCell ref="A1:G1"/>
  </mergeCell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劳务报价汇总表4.10</vt:lpstr>
      <vt:lpstr>沥青路</vt:lpstr>
      <vt:lpstr>园内铺装</vt:lpstr>
      <vt:lpstr>小品</vt:lpstr>
      <vt:lpstr>围墙</vt:lpstr>
      <vt:lpstr>绿化</vt:lpstr>
      <vt:lpstr>给排水</vt:lpstr>
      <vt:lpstr>电气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xz</dc:creator>
  <cp:lastModifiedBy>杜方茂</cp:lastModifiedBy>
  <dcterms:created xsi:type="dcterms:W3CDTF">2020-02-25T13:15:00Z</dcterms:created>
  <dcterms:modified xsi:type="dcterms:W3CDTF">2020-04-13T08:42:04Z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KSOReadingLayout">
    <vt:bool>true</vt:bool>
  </property>
</Properties>
</file>